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rsleisinger/Library/CloudStorage/Dropbox/__Schule/__Unterlagen Unterricht/140_Stöchiometrie/_aktuell/"/>
    </mc:Choice>
  </mc:AlternateContent>
  <xr:revisionPtr revIDLastSave="0" documentId="8_{72F316CD-FB74-434D-B863-C3B0A28436C4}" xr6:coauthVersionLast="47" xr6:coauthVersionMax="47" xr10:uidLastSave="{00000000-0000-0000-0000-000000000000}"/>
  <bookViews>
    <workbookView xWindow="480" yWindow="500" windowWidth="20660" windowHeight="15280" xr2:uid="{44989136-F56F-334E-A2D4-A77054E451B0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42" i="1"/>
  <c r="L43" i="1"/>
  <c r="B43" i="1"/>
  <c r="J34" i="1"/>
  <c r="K11" i="1"/>
  <c r="K12" i="1"/>
  <c r="K14" i="1"/>
  <c r="C21" i="1"/>
  <c r="D21" i="1"/>
  <c r="F21" i="1"/>
  <c r="G21" i="1"/>
  <c r="C22" i="1"/>
  <c r="D22" i="1"/>
  <c r="F22" i="1"/>
  <c r="G22" i="1"/>
  <c r="C23" i="1"/>
  <c r="D23" i="1"/>
  <c r="F23" i="1"/>
  <c r="F27" i="1"/>
  <c r="G23" i="1"/>
  <c r="G27" i="1"/>
  <c r="C24" i="1"/>
  <c r="D24" i="1"/>
  <c r="F24" i="1"/>
  <c r="G24" i="1"/>
  <c r="C25" i="1"/>
  <c r="D25" i="1"/>
  <c r="F25" i="1"/>
  <c r="G25" i="1"/>
  <c r="C47" i="1"/>
  <c r="C49" i="1"/>
  <c r="C50" i="1"/>
  <c r="D47" i="1"/>
  <c r="D48" i="1"/>
  <c r="F47" i="1"/>
  <c r="F48" i="1"/>
  <c r="G47" i="1"/>
  <c r="G48" i="1"/>
  <c r="C53" i="1"/>
  <c r="D53" i="1"/>
  <c r="F53" i="1"/>
  <c r="G53" i="1"/>
  <c r="C56" i="1"/>
  <c r="D56" i="1"/>
  <c r="F56" i="1"/>
  <c r="G56" i="1"/>
  <c r="K7" i="1"/>
  <c r="K10" i="1"/>
  <c r="C65" i="1"/>
  <c r="I65" i="1"/>
  <c r="D65" i="1"/>
  <c r="F65" i="1"/>
  <c r="G65" i="1"/>
  <c r="C86" i="1"/>
  <c r="D86" i="1"/>
  <c r="F86" i="1"/>
  <c r="G86" i="1"/>
  <c r="I86" i="1"/>
  <c r="C113" i="1"/>
  <c r="F113" i="1"/>
  <c r="C89" i="1"/>
  <c r="I89" i="1"/>
  <c r="D89" i="1"/>
  <c r="F89" i="1"/>
  <c r="G89" i="1"/>
  <c r="C92" i="1"/>
  <c r="I92" i="1"/>
  <c r="D92" i="1"/>
  <c r="F92" i="1"/>
  <c r="G92" i="1"/>
  <c r="C95" i="1"/>
  <c r="D95" i="1"/>
  <c r="F95" i="1"/>
  <c r="G95" i="1"/>
  <c r="I95" i="1"/>
  <c r="C103" i="1"/>
  <c r="C114" i="1"/>
  <c r="D27" i="1"/>
  <c r="C27" i="1"/>
  <c r="B27" i="1"/>
  <c r="D49" i="1"/>
  <c r="D50" i="1"/>
  <c r="C48" i="1"/>
  <c r="C101" i="1"/>
  <c r="F101" i="1"/>
  <c r="F49" i="1"/>
  <c r="F50" i="1"/>
  <c r="C104" i="1"/>
  <c r="C115" i="1"/>
  <c r="G49" i="1"/>
  <c r="G50" i="1"/>
  <c r="F116" i="1"/>
  <c r="C116" i="1"/>
  <c r="C105" i="1"/>
  <c r="F105" i="1"/>
  <c r="C107" i="1"/>
  <c r="C34" i="1"/>
  <c r="K34" i="1"/>
  <c r="D34" i="1"/>
  <c r="H34" i="1"/>
  <c r="I34" i="1"/>
  <c r="F34" i="1"/>
  <c r="G34" i="1"/>
  <c r="G32" i="1"/>
  <c r="G43" i="1"/>
  <c r="F32" i="1"/>
  <c r="F43" i="1"/>
  <c r="C32" i="1"/>
  <c r="C43" i="1"/>
  <c r="D32" i="1"/>
  <c r="D43" i="1"/>
  <c r="I43" i="1"/>
</calcChain>
</file>

<file path=xl/sharedStrings.xml><?xml version="1.0" encoding="utf-8"?>
<sst xmlns="http://schemas.openxmlformats.org/spreadsheetml/2006/main" count="154" uniqueCount="109">
  <si>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</si>
  <si>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</si>
  <si>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</si>
  <si>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</si>
  <si>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</si>
  <si>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</si>
  <si>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</si>
  <si>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</si>
  <si>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</si>
  <si>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</si>
  <si>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</si>
  <si>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</si>
  <si>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</si>
  <si>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</si>
  <si>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</si>
  <si>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</si>
  <si>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</si>
  <si>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</si>
  <si>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</si>
  <si>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</si>
  <si>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</si>
  <si>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</si>
  <si>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</si>
  <si>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</si>
  <si>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</si>
  <si>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</si>
  <si>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</si>
  <si>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</si>
  <si>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</si>
  <si>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</si>
  <si>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</si>
  <si>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</si>
  <si>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</si>
  <si>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</si>
  <si>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</si>
  <si>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</si>
  <si>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-1 CH₄</t>
  </si>
  <si>
    <t>-2 O₂</t>
  </si>
  <si>
    <t>1 CO₂</t>
  </si>
  <si>
    <t>2 H₂O</t>
  </si>
  <si>
    <t>Kontrollen</t>
  </si>
  <si>
    <t>Werte pro molarem Formelumsatz</t>
  </si>
  <si>
    <t>Δ</t>
  </si>
  <si>
    <t>Edukte</t>
  </si>
  <si>
    <t>Produkte</t>
  </si>
  <si>
    <t>Atomsorten</t>
  </si>
  <si>
    <t>C</t>
  </si>
  <si>
    <t>H</t>
  </si>
  <si>
    <t>O</t>
  </si>
  <si>
    <t>Ladung</t>
  </si>
  <si>
    <t>4CH</t>
  </si>
  <si>
    <t>OO=</t>
  </si>
  <si>
    <t>2CO=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</si>
  <si>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</si>
  <si>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</si>
  <si>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</si>
  <si>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</si>
  <si>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</si>
  <si>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</si>
  <si>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</si>
  <si>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</si>
  <si>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</si>
  <si>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</si>
  <si>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</si>
  <si>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</si>
  <si>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</si>
  <si>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</si>
  <si>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</si>
  <si>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</si>
  <si>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</si>
  <si>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</si>
  <si>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</si>
  <si>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</si>
  <si>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</si>
  <si>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</si>
  <si>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</si>
  <si>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</si>
  <si>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</si>
  <si>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</si>
  <si>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</si>
  <si>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</si>
  <si>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</si>
  <si>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</si>
  <si>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</si>
  <si>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</si>
  <si>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</si>
  <si>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</si>
  <si>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</si>
  <si>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</si>
  <si>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</si>
  <si>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</si>
  <si>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</si>
  <si>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</si>
  <si>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</si>
  <si>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</si>
  <si>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</si>
  <si>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</si>
  <si>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</si>
  <si>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</si>
  <si>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</si>
  <si>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</si>
  <si>
    <t>benötigte</t>
  </si>
  <si>
    <t>Luft</t>
  </si>
  <si>
    <t>vol% Pentan</t>
  </si>
  <si>
    <t>Mol Luft in 1.1 L</t>
  </si>
  <si>
    <t>%Vol in 1.1 L Luft</t>
  </si>
  <si>
    <t>Theoretisches Optimum</t>
  </si>
  <si>
    <t>Liter Luft fuer</t>
  </si>
  <si>
    <t>Barometrische Höhenformel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</si>
</sst>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8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82">
    <xf numFmtId="0" fontId="0" fillId="0" borderId="0" xfId="0"/>
    <xf numFmtId="164" fontId="2" fillId="0" borderId="0" xfId="0" applyNumberFormat="1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1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1" xfId="0" applyFont="1" applyFill="1" applyBorder="1" applyAlignment="1" applyProtection="1"/>
    <xf numFmtId="0" fontId="13" fillId="0" borderId="2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1" xfId="0" applyFont="1" applyFill="1" applyBorder="1" applyAlignment="1" applyProtection="1"/>
    <xf numFmtId="0" fontId="16" fillId="0" borderId="0" xfId="0" applyFont="1" applyFill="1" applyBorder="1" applyAlignment="1" applyProtection="1"/>
    <xf numFmtId="0" fontId="17" fillId="2" borderId="3" xfId="0" applyFont="1" applyFill="1" applyBorder="1" applyAlignment="1" applyProtection="1"/>
    <xf numFmtId="0" fontId="18" fillId="0" borderId="4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2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4" xfId="0" applyFont="1" applyFill="1" applyBorder="1" applyAlignment="1" applyProtection="1"/>
    <xf numFmtId="0" fontId="23" fillId="0" borderId="2" xfId="0" applyFont="1" applyFill="1" applyBorder="1" applyAlignment="1" applyProtection="1"/>
    <xf numFmtId="0" fontId="24" fillId="0" borderId="4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2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4" xfId="0" applyFont="1" applyFill="1" applyBorder="1" applyAlignment="1" applyProtection="1"/>
    <xf numFmtId="0" fontId="30" fillId="0" borderId="1" xfId="0" applyFont="1" applyFill="1" applyBorder="1" applyAlignment="1" applyProtection="1"/>
    <xf numFmtId="0" fontId="31" fillId="0" borderId="2" xfId="0" applyFont="1" applyFill="1" applyBorder="1" applyAlignment="1" applyProtection="1"/>
    <xf numFmtId="0" fontId="32" fillId="0" borderId="0" xfId="0" applyFont="1" applyFill="1" applyBorder="1" applyAlignment="1" applyProtection="1"/>
    <xf numFmtId="0" fontId="33" fillId="0" borderId="2" xfId="0" applyFont="1" applyFill="1" applyBorder="1" applyAlignment="1" applyProtection="1"/>
    <xf numFmtId="0" fontId="34" fillId="0" borderId="4" xfId="0" applyFont="1" applyFill="1" applyBorder="1" applyAlignment="1" applyProtection="1"/>
    <xf numFmtId="0" fontId="35" fillId="0" borderId="3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2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4" xfId="0" applyFont="1" applyFill="1" applyBorder="1" applyAlignment="1" applyProtection="1"/>
    <xf numFmtId="0" fontId="42" fillId="0" borderId="2" xfId="0" applyFont="1" applyFill="1" applyBorder="1" applyAlignment="1" applyProtection="1"/>
    <xf numFmtId="0" fontId="43" fillId="0" borderId="4" xfId="0" applyFont="1" applyFill="1" applyBorder="1" applyAlignment="1" applyProtection="1"/>
    <xf numFmtId="0" fontId="44" fillId="0" borderId="2" xfId="0" applyFont="1" applyFill="1" applyBorder="1" applyAlignment="1" applyProtection="1"/>
    <xf numFmtId="0" fontId="45" fillId="0" borderId="4" xfId="0" applyFont="1" applyFill="1" applyBorder="1" applyAlignment="1" applyProtection="1"/>
    <xf numFmtId="0" fontId="46" fillId="0" borderId="2" xfId="0" applyFont="1" applyFill="1" applyBorder="1" applyAlignment="1" applyProtection="1"/>
    <xf numFmtId="0" fontId="47" fillId="0" borderId="4" xfId="0" applyFont="1" applyFill="1" applyBorder="1" applyAlignment="1" applyProtection="1"/>
    <xf numFmtId="0" fontId="48" fillId="0" borderId="2" xfId="0" applyFont="1" applyFill="1" applyBorder="1" applyAlignment="1" applyProtection="1"/>
    <xf numFmtId="0" fontId="49" fillId="0" borderId="4" xfId="0" applyFont="1" applyFill="1" applyBorder="1" applyAlignment="1" applyProtection="1"/>
    <xf numFmtId="0" fontId="50" fillId="0" borderId="2" xfId="0" applyFont="1" applyFill="1" applyBorder="1" applyAlignment="1" applyProtection="1"/>
    <xf numFmtId="0" fontId="51" fillId="0" borderId="4" xfId="0" applyFont="1" applyFill="1" applyBorder="1" applyAlignment="1" applyProtection="1"/>
    <xf numFmtId="0" fontId="52" fillId="0" borderId="2" xfId="0" applyFont="1" applyFill="1" applyBorder="1" applyAlignment="1" applyProtection="1"/>
    <xf numFmtId="0" fontId="53" fillId="0" borderId="4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0" xfId="0" applyFont="1" applyFill="1" applyBorder="1" applyAlignment="1" applyProtection="1"/>
    <xf numFmtId="0" fontId="67" fillId="0" borderId="0" xfId="0" applyFont="1" applyFill="1" applyBorder="1" applyAlignment="1" applyProtection="1"/>
    <xf numFmtId="0" fontId="68" fillId="0" borderId="0" xfId="0" applyFont="1" applyFill="1" applyBorder="1" applyAlignment="1" applyProtection="1"/>
    <xf numFmtId="0" fontId="69" fillId="0" borderId="2" xfId="0" applyFont="1" applyFill="1" applyBorder="1" applyAlignment="1" applyProtection="1"/>
    <xf numFmtId="0" fontId="70" fillId="0" borderId="2" xfId="0" applyFont="1" applyFill="1" applyBorder="1" applyAlignment="1" applyProtection="1"/>
    <xf numFmtId="0" fontId="71" fillId="0" borderId="2" xfId="0" applyFont="1" applyFill="1" applyBorder="1" applyAlignment="1" applyProtection="1"/>
    <xf numFmtId="0" fontId="72" fillId="0" borderId="4" xfId="0" applyFont="1" applyFill="1" applyBorder="1" applyAlignment="1" applyProtection="1"/>
    <xf numFmtId="0" fontId="73" fillId="0" borderId="4" xfId="0" applyFont="1" applyFill="1" applyBorder="1" applyAlignment="1" applyProtection="1"/>
    <xf numFmtId="0" fontId="74" fillId="0" borderId="4" xfId="0" applyFont="1" applyFill="1" applyBorder="1" applyAlignment="1" applyProtection="1"/>
    <xf numFmtId="0" fontId="75" fillId="0" borderId="2" xfId="0" applyFont="1" applyFill="1" applyBorder="1" applyAlignment="1" applyProtection="1"/>
    <xf numFmtId="0" fontId="76" fillId="0" borderId="2" xfId="0" applyFont="1" applyFill="1" applyBorder="1" applyAlignment="1" applyProtection="1"/>
    <xf numFmtId="0" fontId="77" fillId="0" borderId="2" xfId="0" applyFont="1" applyFill="1" applyBorder="1" applyAlignment="1" applyProtection="1"/>
    <xf numFmtId="0" fontId="1" fillId="0" borderId="0" xfId="0" applyFont="1"/>
    <xf numFmtId="0" fontId="1" fillId="0" borderId="5" xfId="0" applyFont="1" applyFill="1" applyBorder="1" applyAlignment="1" applyProtection="1"/>
    <xf numFmtId="10" fontId="0" fillId="0" borderId="0" xfId="0" applyNumberFormat="1"/>
    <xf numFmtId="10" fontId="1" fillId="0" borderId="0" xfId="0" applyNumberFormat="1" applyFont="1"/>
    <xf numFmtId="0" fontId="1" fillId="2" borderId="3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F619-E13D-2744-993A-5CFA7979D1A2}">
  <sheetPr>
    <outlinePr summaryBelow="0" summaryRight="0"/>
  </sheetPr>
  <dimension ref="A1:M116"/>
  <sheetViews>
    <sheetView tabSelected="1" topLeftCell="A7" workbookViewId="0">
      <selection activeCell="B14" sqref="B14"/>
    </sheetView>
  </sheetViews>
  <sheetFormatPr baseColWidth="10" defaultRowHeight="13" x14ac:dyDescent="0.15"/>
  <cols>
    <col min="1" max="1" width="40" customWidth="1"/>
  </cols>
  <sheetData>
    <row r="1" spans="1:13" x14ac:dyDescent="0.15">
      <c r="F1" s="1">
        <v>45992.717002314814</v>
      </c>
    </row>
    <row r="3" spans="1:13" x14ac:dyDescent="0.15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  <c r="G3" s="34" t="s">
        <v>39</v>
      </c>
    </row>
    <row r="5" spans="1:13" x14ac:dyDescent="0.15">
      <c r="A5" s="4" t="s">
        <v>1</v>
      </c>
      <c r="J5" s="53" t="s">
        <v>40</v>
      </c>
      <c r="K5" s="15" t="s">
        <v>41</v>
      </c>
    </row>
    <row r="6" spans="1:13" x14ac:dyDescent="0.15">
      <c r="A6" s="5" t="s">
        <v>2</v>
      </c>
      <c r="B6" s="6"/>
      <c r="C6" s="16"/>
      <c r="D6" s="16"/>
      <c r="E6" s="7"/>
      <c r="F6" s="16"/>
      <c r="G6" s="16"/>
      <c r="K6" s="54" t="s">
        <v>42</v>
      </c>
      <c r="L6" s="55" t="s">
        <v>43</v>
      </c>
      <c r="M6" s="56" t="s">
        <v>44</v>
      </c>
    </row>
    <row r="7" spans="1:13" x14ac:dyDescent="0.15">
      <c r="J7" s="57" t="s">
        <v>22</v>
      </c>
      <c r="K7" s="58">
        <f>M7+L7</f>
        <v>0</v>
      </c>
      <c r="L7" s="15">
        <v>-80.040400000000005</v>
      </c>
      <c r="M7" s="15">
        <v>80.040400000000005</v>
      </c>
    </row>
    <row r="8" spans="1:13" x14ac:dyDescent="0.15">
      <c r="A8" s="8" t="s">
        <v>3</v>
      </c>
    </row>
    <row r="9" spans="1:13" x14ac:dyDescent="0.15">
      <c r="A9" s="9" t="s">
        <v>4</v>
      </c>
      <c r="B9" s="10" t="s">
        <v>4</v>
      </c>
      <c r="C9" s="16"/>
      <c r="D9" s="16"/>
      <c r="E9" s="11"/>
      <c r="F9" s="16"/>
      <c r="G9" s="16"/>
      <c r="J9" s="59" t="s">
        <v>45</v>
      </c>
    </row>
    <row r="10" spans="1:13" x14ac:dyDescent="0.15">
      <c r="J10" s="60" t="s">
        <v>46</v>
      </c>
      <c r="K10" s="61">
        <f>M10+L10</f>
        <v>0</v>
      </c>
      <c r="L10" s="15">
        <v>-1</v>
      </c>
      <c r="M10" s="15">
        <v>1</v>
      </c>
    </row>
    <row r="11" spans="1:13" x14ac:dyDescent="0.15">
      <c r="A11" s="8" t="s">
        <v>5</v>
      </c>
      <c r="J11" s="62" t="s">
        <v>47</v>
      </c>
      <c r="K11" s="63">
        <f>M11+L11</f>
        <v>0</v>
      </c>
      <c r="L11" s="15">
        <v>-4</v>
      </c>
      <c r="M11" s="15">
        <v>4</v>
      </c>
    </row>
    <row r="12" spans="1:13" x14ac:dyDescent="0.15">
      <c r="A12" s="12" t="s">
        <v>6</v>
      </c>
      <c r="B12" s="13"/>
      <c r="C12" s="16">
        <v>0.09</v>
      </c>
      <c r="D12" s="16"/>
      <c r="E12" s="14"/>
      <c r="F12" s="16"/>
      <c r="G12" s="16"/>
      <c r="J12" s="64" t="s">
        <v>48</v>
      </c>
      <c r="K12" s="65">
        <f>M12+L12</f>
        <v>0</v>
      </c>
      <c r="L12" s="15">
        <v>-4</v>
      </c>
      <c r="M12" s="15">
        <v>4</v>
      </c>
    </row>
    <row r="13" spans="1:13" x14ac:dyDescent="0.15">
      <c r="A13" s="15" t="s">
        <v>7</v>
      </c>
      <c r="B13" s="16">
        <v>20</v>
      </c>
    </row>
    <row r="14" spans="1:13" x14ac:dyDescent="0.15">
      <c r="A14" s="17" t="s">
        <v>8</v>
      </c>
      <c r="B14" s="81">
        <f>101300*L43</f>
        <v>95753.117748399294</v>
      </c>
      <c r="J14" s="66" t="s">
        <v>49</v>
      </c>
      <c r="K14" s="67">
        <f>M13+L13</f>
        <v>0</v>
      </c>
      <c r="L14" s="15">
        <v>0</v>
      </c>
      <c r="M14" s="15">
        <v>0</v>
      </c>
    </row>
    <row r="16" spans="1:13" x14ac:dyDescent="0.15">
      <c r="A16" s="8" t="s">
        <v>9</v>
      </c>
    </row>
    <row r="17" spans="1:11" x14ac:dyDescent="0.15">
      <c r="A17" s="18" t="s">
        <v>10</v>
      </c>
      <c r="B17" s="19"/>
      <c r="C17" s="16"/>
      <c r="D17" s="16"/>
      <c r="E17" s="22"/>
      <c r="F17" s="16"/>
      <c r="G17" s="16"/>
    </row>
    <row r="18" spans="1:11" x14ac:dyDescent="0.15">
      <c r="A18" s="15" t="s">
        <v>11</v>
      </c>
      <c r="C18" s="16"/>
      <c r="D18" s="16"/>
      <c r="F18" s="16"/>
      <c r="G18" s="16"/>
    </row>
    <row r="19" spans="1:11" x14ac:dyDescent="0.15">
      <c r="A19" s="20" t="s">
        <v>12</v>
      </c>
      <c r="B19" s="21"/>
      <c r="C19" s="16"/>
      <c r="D19" s="16"/>
      <c r="E19" s="23"/>
      <c r="F19" s="16"/>
      <c r="G19" s="16"/>
    </row>
    <row r="21" spans="1:11" x14ac:dyDescent="0.1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  <c r="G21" s="15">
        <f>IF(AND(G6&gt;0,G33&gt;0),ABS(G6/G31),0)</f>
        <v>0</v>
      </c>
    </row>
    <row r="22" spans="1:11" x14ac:dyDescent="0.15">
      <c r="A22" s="15" t="s">
        <v>14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  <c r="G22" s="15">
        <f>IF(AND(G9&gt;0,G33&gt;0),ABS(G9/G33/G31),0)</f>
        <v>0</v>
      </c>
    </row>
    <row r="23" spans="1:11" x14ac:dyDescent="0.15">
      <c r="A23" s="15" t="s">
        <v>15</v>
      </c>
      <c r="C23" s="15">
        <f>IF(AND(C12&gt;0,C31&lt;&gt;0),ABS($B14*C12/1000/8.314/($B13+273.15)/C31),0)</f>
        <v>3.5358636904844636E-3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  <c r="G23" s="15">
        <f>IF(AND(G12&gt;0,G31&lt;&gt;0),ABS($B14*G12/1000/8.314/($B13+273.15)/G31),0)</f>
        <v>0</v>
      </c>
    </row>
    <row r="24" spans="1:11" x14ac:dyDescent="0.1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  <c r="G24" s="15">
        <f>IF(AND(G17&gt;0,G31&lt;&gt;0,G18&gt;0),ABS(G18/G33*G17/G31),0)</f>
        <v>0</v>
      </c>
    </row>
    <row r="25" spans="1:11" x14ac:dyDescent="0.1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  <c r="G25" s="15">
        <f>IF(AND(G19&gt;0,G17&gt;0,G31&lt;&gt;0),ABS(G19*G17/G31),0)</f>
        <v>0</v>
      </c>
    </row>
    <row r="27" spans="1:11" x14ac:dyDescent="0.15">
      <c r="A27" s="15" t="s">
        <v>18</v>
      </c>
      <c r="B27" s="8">
        <f>IF(MAX(C27:H27)&gt;0,SMALL(C27:H27,COUNTIF($C$27:$H$27,0)+1),0)</f>
        <v>3.5358636904844636E-3</v>
      </c>
      <c r="C27" s="15">
        <f>MAX(C21:C25)</f>
        <v>3.5358636904844636E-3</v>
      </c>
      <c r="D27" s="15">
        <f>MAX(D21:D25)</f>
        <v>0</v>
      </c>
      <c r="F27" s="15">
        <f>MAX(F21:F25)</f>
        <v>0</v>
      </c>
      <c r="G27" s="15">
        <f>MAX(G21:G25)</f>
        <v>0</v>
      </c>
    </row>
    <row r="29" spans="1:11" x14ac:dyDescent="0.15">
      <c r="A29" s="8" t="s">
        <v>19</v>
      </c>
      <c r="H29" s="77" t="s">
        <v>101</v>
      </c>
    </row>
    <row r="30" spans="1:11" x14ac:dyDescent="0.1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  <c r="G30" s="34" t="s">
        <v>39</v>
      </c>
      <c r="H30" s="77" t="s">
        <v>102</v>
      </c>
      <c r="I30" s="77" t="s">
        <v>103</v>
      </c>
      <c r="J30" s="77" t="s">
        <v>104</v>
      </c>
      <c r="K30" s="77" t="s">
        <v>105</v>
      </c>
    </row>
    <row r="31" spans="1:11" x14ac:dyDescent="0.15">
      <c r="A31" s="15" t="s">
        <v>21</v>
      </c>
      <c r="C31" s="34">
        <v>-1</v>
      </c>
      <c r="D31" s="34">
        <v>-2</v>
      </c>
      <c r="F31" s="34">
        <v>1</v>
      </c>
      <c r="G31" s="34">
        <v>2</v>
      </c>
      <c r="I31" s="77" t="s">
        <v>106</v>
      </c>
    </row>
    <row r="32" spans="1:11" x14ac:dyDescent="0.15">
      <c r="A32" s="15" t="s">
        <v>22</v>
      </c>
      <c r="B32" s="15" t="s">
        <v>23</v>
      </c>
      <c r="C32" s="34">
        <f>C33*C34</f>
        <v>-5.6725861186442246E-2</v>
      </c>
      <c r="D32" s="34">
        <f>D33*D34</f>
        <v>-0.22628679011814851</v>
      </c>
      <c r="F32" s="34">
        <f>F33*F34</f>
        <v>0.15561336101822124</v>
      </c>
      <c r="G32" s="34">
        <f>G33*G34</f>
        <v>0.12739929028636951</v>
      </c>
    </row>
    <row r="33" spans="1:12" x14ac:dyDescent="0.15">
      <c r="A33" s="15" t="s">
        <v>24</v>
      </c>
      <c r="B33" s="15" t="s">
        <v>25</v>
      </c>
      <c r="C33" s="34">
        <v>16.042999999999999</v>
      </c>
      <c r="D33" s="34">
        <v>31.998799999999999</v>
      </c>
      <c r="F33" s="34">
        <v>44.01</v>
      </c>
      <c r="G33" s="34">
        <v>18.0153</v>
      </c>
    </row>
    <row r="34" spans="1:12" x14ac:dyDescent="0.15">
      <c r="A34" s="26" t="s">
        <v>26</v>
      </c>
      <c r="B34" s="27" t="s">
        <v>27</v>
      </c>
      <c r="C34" s="34">
        <f>C31*$B$27</f>
        <v>-3.5358636904844636E-3</v>
      </c>
      <c r="D34" s="34">
        <f>D31*$B$27</f>
        <v>-7.0717273809689273E-3</v>
      </c>
      <c r="E34" s="28"/>
      <c r="F34" s="34">
        <f>F31*$B$27</f>
        <v>3.5358636904844636E-3</v>
      </c>
      <c r="G34" s="34">
        <f>G31*$B$27</f>
        <v>7.0717273809689273E-3</v>
      </c>
      <c r="H34" s="78">
        <f>D34/0.21</f>
        <v>-3.3674892290328225E-2</v>
      </c>
      <c r="I34" s="79">
        <f>C34/H34</f>
        <v>0.105</v>
      </c>
      <c r="J34">
        <f>1.1/B43</f>
        <v>4.3216111772587891E-2</v>
      </c>
      <c r="K34" s="79">
        <f>C34/J34</f>
        <v>-8.1818181818181818E-2</v>
      </c>
    </row>
    <row r="35" spans="1:12" x14ac:dyDescent="0.15">
      <c r="I35" s="80"/>
    </row>
    <row r="38" spans="1:12" x14ac:dyDescent="0.15">
      <c r="A38" s="8" t="s">
        <v>29</v>
      </c>
    </row>
    <row r="39" spans="1:12" x14ac:dyDescent="0.15">
      <c r="I39" s="77" t="s">
        <v>107</v>
      </c>
    </row>
    <row r="40" spans="1:12" x14ac:dyDescent="0.15">
      <c r="A40" s="31" t="s">
        <v>5</v>
      </c>
      <c r="I40" s="77" t="s">
        <v>106</v>
      </c>
    </row>
    <row r="41" spans="1:12" x14ac:dyDescent="0.15">
      <c r="A41" s="32" t="s">
        <v>7</v>
      </c>
      <c r="B41" s="16">
        <v>20</v>
      </c>
    </row>
    <row r="42" spans="1:12" x14ac:dyDescent="0.15">
      <c r="A42" s="15" t="s">
        <v>8</v>
      </c>
      <c r="B42" s="81">
        <f>101300*L43</f>
        <v>95753.117748399294</v>
      </c>
      <c r="L42" s="77" t="s">
        <v>108</v>
      </c>
    </row>
    <row r="43" spans="1:12" x14ac:dyDescent="0.15">
      <c r="A43" s="33" t="s">
        <v>30</v>
      </c>
      <c r="B43" s="34">
        <f>1*8.314*($B$41+273.15)/$B$42*1000</f>
        <v>25.45346989540446</v>
      </c>
      <c r="C43" s="34">
        <f>$B$43*C34</f>
        <v>-9.0000000000000011E-2</v>
      </c>
      <c r="D43" s="34">
        <f>$B$43*D34</f>
        <v>-0.18000000000000002</v>
      </c>
      <c r="E43" s="34"/>
      <c r="F43" s="34">
        <f>$B$43*F34</f>
        <v>9.0000000000000011E-2</v>
      </c>
      <c r="G43" s="34">
        <f>$B$43*G34</f>
        <v>0.18000000000000002</v>
      </c>
      <c r="I43" s="78">
        <f>D43/0.21</f>
        <v>-0.85714285714285732</v>
      </c>
      <c r="L43">
        <f>10^-(450/18400)</f>
        <v>0.94524301824678469</v>
      </c>
    </row>
    <row r="45" spans="1:12" x14ac:dyDescent="0.15">
      <c r="A45" s="31" t="s">
        <v>31</v>
      </c>
    </row>
    <row r="46" spans="1:12" x14ac:dyDescent="0.15">
      <c r="A46" s="35" t="s">
        <v>10</v>
      </c>
      <c r="B46" s="36"/>
      <c r="C46" s="16"/>
      <c r="D46" s="16"/>
      <c r="E46" s="37"/>
      <c r="F46" s="16"/>
      <c r="G46" s="16"/>
    </row>
    <row r="47" spans="1:12" x14ac:dyDescent="0.1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  <c r="G47" s="34" t="str">
        <f>IF(G46&lt;&gt;"",G34/G46,"")</f>
        <v/>
      </c>
    </row>
    <row r="48" spans="1:12" x14ac:dyDescent="0.1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  <c r="G48" s="34" t="str">
        <f>IF(G47&lt;&gt;"",G47*G33,"")</f>
        <v/>
      </c>
    </row>
    <row r="49" spans="1:7" x14ac:dyDescent="0.1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  <c r="G49" s="34" t="str">
        <f>IF(G47&lt;&gt;"",G47*8.314*($B$41+273.15),"")</f>
        <v/>
      </c>
    </row>
    <row r="50" spans="1:7" x14ac:dyDescent="0.1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  <c r="G50" s="34" t="str">
        <f>IF(G49&lt;&gt;"",G49/101300,"")</f>
        <v/>
      </c>
    </row>
    <row r="52" spans="1:7" x14ac:dyDescent="0.15">
      <c r="A52" s="41" t="s">
        <v>32</v>
      </c>
      <c r="B52" s="43"/>
      <c r="C52" s="16"/>
      <c r="D52" s="16"/>
      <c r="E52" s="45"/>
      <c r="F52" s="16"/>
      <c r="G52" s="16"/>
    </row>
    <row r="53" spans="1:7" x14ac:dyDescent="0.1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  <c r="G53" s="34" t="str">
        <f>IF(G52&lt;&gt;"",G34/G52,"")</f>
        <v/>
      </c>
    </row>
    <row r="55" spans="1:7" x14ac:dyDescent="0.15">
      <c r="A55" s="47" t="s">
        <v>33</v>
      </c>
      <c r="B55" s="49"/>
      <c r="C55" s="16"/>
      <c r="D55" s="16"/>
      <c r="E55" s="51"/>
      <c r="F55" s="16"/>
      <c r="G55" s="16"/>
    </row>
    <row r="56" spans="1:7" x14ac:dyDescent="0.1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  <c r="G56" s="34" t="str">
        <f>IF(G55&lt;&gt;"",G32/G55,"")</f>
        <v/>
      </c>
    </row>
    <row r="61" spans="1:7" x14ac:dyDescent="0.15">
      <c r="A61" s="8" t="s">
        <v>54</v>
      </c>
    </row>
    <row r="62" spans="1:7" x14ac:dyDescent="0.15">
      <c r="A62" s="68"/>
      <c r="B62" s="69"/>
      <c r="C62" s="34" t="s">
        <v>36</v>
      </c>
      <c r="D62" s="34" t="s">
        <v>37</v>
      </c>
      <c r="E62" s="70"/>
      <c r="F62" s="34" t="s">
        <v>38</v>
      </c>
      <c r="G62" s="34" t="s">
        <v>39</v>
      </c>
    </row>
    <row r="63" spans="1:7" x14ac:dyDescent="0.15">
      <c r="C63" s="34">
        <v>-1</v>
      </c>
      <c r="D63" s="34">
        <v>-2</v>
      </c>
      <c r="F63" s="34">
        <v>1</v>
      </c>
      <c r="G63" s="34">
        <v>2</v>
      </c>
    </row>
    <row r="64" spans="1:7" x14ac:dyDescent="0.15">
      <c r="A64" s="15" t="s">
        <v>55</v>
      </c>
      <c r="C64" s="34">
        <v>-1652</v>
      </c>
      <c r="D64" s="34">
        <v>-498</v>
      </c>
      <c r="F64" s="34">
        <v>-1490</v>
      </c>
      <c r="G64" s="34">
        <v>-926</v>
      </c>
    </row>
    <row r="65" spans="1:10" x14ac:dyDescent="0.15">
      <c r="A65" s="71" t="s">
        <v>56</v>
      </c>
      <c r="B65" s="72"/>
      <c r="C65" s="34">
        <f>C63*C64</f>
        <v>1652</v>
      </c>
      <c r="D65" s="34">
        <f>D63*D64</f>
        <v>996</v>
      </c>
      <c r="E65" s="73"/>
      <c r="F65" s="34">
        <f>F63*F64</f>
        <v>-1490</v>
      </c>
      <c r="G65" s="34">
        <f>G63*G64</f>
        <v>-1852</v>
      </c>
      <c r="H65" s="15" t="s">
        <v>57</v>
      </c>
      <c r="I65" s="34">
        <f>SUM(C65:H65)</f>
        <v>-694</v>
      </c>
      <c r="J65" s="15" t="s">
        <v>58</v>
      </c>
    </row>
    <row r="67" spans="1:10" x14ac:dyDescent="0.15">
      <c r="A67" s="15" t="s">
        <v>59</v>
      </c>
      <c r="C67" s="34" t="s">
        <v>50</v>
      </c>
      <c r="D67" s="34" t="s">
        <v>51</v>
      </c>
      <c r="F67" s="34" t="s">
        <v>52</v>
      </c>
      <c r="G67" s="34" t="s">
        <v>53</v>
      </c>
    </row>
    <row r="68" spans="1:10" x14ac:dyDescent="0.15">
      <c r="A68" s="15" t="s">
        <v>60</v>
      </c>
      <c r="C68" s="34">
        <v>-413</v>
      </c>
      <c r="D68" s="34">
        <v>-498</v>
      </c>
      <c r="F68" s="34">
        <v>-745</v>
      </c>
      <c r="G68" s="34">
        <v>-463</v>
      </c>
    </row>
    <row r="81" spans="1:9" x14ac:dyDescent="0.15">
      <c r="A81" s="8" t="s">
        <v>61</v>
      </c>
    </row>
    <row r="82" spans="1:9" x14ac:dyDescent="0.15">
      <c r="A82" s="74"/>
      <c r="B82" s="75"/>
      <c r="C82" s="34" t="s">
        <v>36</v>
      </c>
      <c r="D82" s="34" t="s">
        <v>37</v>
      </c>
      <c r="E82" s="76"/>
      <c r="F82" s="34" t="s">
        <v>38</v>
      </c>
      <c r="G82" s="34" t="s">
        <v>39</v>
      </c>
    </row>
    <row r="83" spans="1:9" x14ac:dyDescent="0.15">
      <c r="C83" s="34">
        <v>-1</v>
      </c>
      <c r="D83" s="34">
        <v>-2</v>
      </c>
      <c r="F83" s="34">
        <v>1</v>
      </c>
      <c r="G83" s="34">
        <v>2</v>
      </c>
    </row>
    <row r="85" spans="1:9" x14ac:dyDescent="0.15">
      <c r="A85" s="15" t="s">
        <v>62</v>
      </c>
      <c r="B85" s="15" t="s">
        <v>63</v>
      </c>
      <c r="C85" s="34">
        <v>-74.81</v>
      </c>
      <c r="D85" s="34">
        <v>0</v>
      </c>
      <c r="F85" s="34">
        <v>-393.50900000000001</v>
      </c>
      <c r="G85" s="34">
        <v>-285.83</v>
      </c>
    </row>
    <row r="86" spans="1:9" x14ac:dyDescent="0.15">
      <c r="A86" s="15" t="s">
        <v>64</v>
      </c>
      <c r="B86" s="15" t="s">
        <v>65</v>
      </c>
      <c r="C86" s="34">
        <f>C85*C83</f>
        <v>74.81</v>
      </c>
      <c r="D86" s="34">
        <f>D85*D83</f>
        <v>0</v>
      </c>
      <c r="F86" s="34">
        <f>F85*F83</f>
        <v>-393.50900000000001</v>
      </c>
      <c r="G86" s="34">
        <f>G85*G83</f>
        <v>-571.66</v>
      </c>
      <c r="H86" s="15" t="s">
        <v>57</v>
      </c>
      <c r="I86" s="34">
        <f>SUM(C86:G86)</f>
        <v>-890.35899999999992</v>
      </c>
    </row>
    <row r="88" spans="1:9" x14ac:dyDescent="0.15">
      <c r="A88" s="15" t="s">
        <v>66</v>
      </c>
      <c r="B88" s="15" t="s">
        <v>67</v>
      </c>
      <c r="C88" s="34">
        <v>186.26</v>
      </c>
      <c r="D88" s="34">
        <v>205.13800000000001</v>
      </c>
      <c r="F88" s="34">
        <v>213.74</v>
      </c>
      <c r="G88" s="34">
        <v>69.91</v>
      </c>
    </row>
    <row r="89" spans="1:9" x14ac:dyDescent="0.15">
      <c r="A89" s="15" t="s">
        <v>68</v>
      </c>
      <c r="B89" s="15" t="s">
        <v>69</v>
      </c>
      <c r="C89" s="34">
        <f>C88*C83</f>
        <v>-186.26</v>
      </c>
      <c r="D89" s="34">
        <f>D88*D83</f>
        <v>-410.27600000000001</v>
      </c>
      <c r="F89" s="34">
        <f>F88*F83</f>
        <v>213.74</v>
      </c>
      <c r="G89" s="34">
        <f>G88*G83</f>
        <v>139.82</v>
      </c>
      <c r="H89" s="15" t="s">
        <v>57</v>
      </c>
      <c r="I89" s="34">
        <f>SUM(C89:G89)</f>
        <v>-242.97600000000006</v>
      </c>
    </row>
    <row r="91" spans="1:9" x14ac:dyDescent="0.15">
      <c r="A91" s="15" t="s">
        <v>70</v>
      </c>
      <c r="B91" s="15" t="s">
        <v>63</v>
      </c>
      <c r="C91" s="34">
        <v>-50.72</v>
      </c>
      <c r="D91" s="34">
        <v>0</v>
      </c>
      <c r="F91" s="34">
        <v>-394.35899999999998</v>
      </c>
      <c r="G91" s="34">
        <v>-237.18</v>
      </c>
    </row>
    <row r="92" spans="1:9" x14ac:dyDescent="0.15">
      <c r="A92" s="15" t="s">
        <v>71</v>
      </c>
      <c r="B92" s="15" t="s">
        <v>65</v>
      </c>
      <c r="C92" s="34">
        <f>C91*C83</f>
        <v>50.72</v>
      </c>
      <c r="D92" s="34">
        <f>D91*D83</f>
        <v>0</v>
      </c>
      <c r="F92" s="34">
        <f>F91*F83</f>
        <v>-394.35899999999998</v>
      </c>
      <c r="G92" s="34">
        <f>G91*G83</f>
        <v>-474.36</v>
      </c>
      <c r="H92" s="15" t="s">
        <v>57</v>
      </c>
      <c r="I92" s="34">
        <f>SUM(C92:G92)</f>
        <v>-817.99900000000002</v>
      </c>
    </row>
    <row r="94" spans="1:9" x14ac:dyDescent="0.15">
      <c r="A94" s="15" t="s">
        <v>72</v>
      </c>
      <c r="B94" s="15" t="s">
        <v>73</v>
      </c>
      <c r="C94" s="34">
        <v>24465.599999999999</v>
      </c>
      <c r="D94" s="34" t="e">
        <v>#NUM!</v>
      </c>
      <c r="F94" s="34">
        <v>24465.599999999999</v>
      </c>
      <c r="G94" s="34">
        <v>18.068000000000001</v>
      </c>
    </row>
    <row r="95" spans="1:9" x14ac:dyDescent="0.15">
      <c r="A95" s="15" t="s">
        <v>74</v>
      </c>
      <c r="B95" s="15" t="s">
        <v>75</v>
      </c>
      <c r="C95" s="34">
        <f>C94*C83</f>
        <v>-24465.599999999999</v>
      </c>
      <c r="D95" s="34" t="e">
        <f>D94*D83</f>
        <v>#NUM!</v>
      </c>
      <c r="F95" s="34">
        <f>F94*F83</f>
        <v>24465.599999999999</v>
      </c>
      <c r="G95" s="34">
        <f>G94*G83</f>
        <v>36.136000000000003</v>
      </c>
      <c r="H95" s="15" t="s">
        <v>57</v>
      </c>
      <c r="I95" s="34" t="e">
        <f>SUM(C95:G95)</f>
        <v>#NUM!</v>
      </c>
    </row>
    <row r="101" spans="1:7" x14ac:dyDescent="0.15">
      <c r="A101" s="15" t="s">
        <v>76</v>
      </c>
      <c r="B101" s="15" t="s">
        <v>77</v>
      </c>
      <c r="C101" s="34">
        <f>I86*1000/I89</f>
        <v>3664.3907217173701</v>
      </c>
      <c r="D101" s="15" t="s">
        <v>78</v>
      </c>
      <c r="F101" s="34">
        <f>C101-273.15</f>
        <v>3391.24072171737</v>
      </c>
      <c r="G101" s="15" t="s">
        <v>79</v>
      </c>
    </row>
    <row r="103" spans="1:7" x14ac:dyDescent="0.15">
      <c r="A103" s="15" t="s">
        <v>80</v>
      </c>
      <c r="B103" s="15" t="s">
        <v>77</v>
      </c>
      <c r="C103" s="34">
        <f>F103+273.15</f>
        <v>293.14999999999998</v>
      </c>
      <c r="D103" s="15" t="s">
        <v>78</v>
      </c>
      <c r="F103" s="16">
        <v>20</v>
      </c>
      <c r="G103" s="15" t="s">
        <v>79</v>
      </c>
    </row>
    <row r="104" spans="1:7" x14ac:dyDescent="0.15">
      <c r="A104" s="15" t="s">
        <v>81</v>
      </c>
      <c r="B104" s="15" t="s">
        <v>82</v>
      </c>
      <c r="C104" s="34">
        <f>I86-C103*I89/1000</f>
        <v>-819.1305855999999</v>
      </c>
      <c r="D104" s="15" t="s">
        <v>63</v>
      </c>
    </row>
    <row r="105" spans="1:7" x14ac:dyDescent="0.15">
      <c r="A105" s="15" t="s">
        <v>83</v>
      </c>
      <c r="B105" s="15" t="s">
        <v>84</v>
      </c>
      <c r="C105" s="34">
        <f>EXP(-C104*1000/8.314/C103)</f>
        <v>9.146120230146045E+145</v>
      </c>
      <c r="D105" s="15" t="s">
        <v>85</v>
      </c>
      <c r="E105" s="15" t="s">
        <v>86</v>
      </c>
      <c r="F105" s="34">
        <f>C104*1000/8.314/C103*LOG(EXP(1))</f>
        <v>-145.96123690609187</v>
      </c>
    </row>
    <row r="106" spans="1:7" x14ac:dyDescent="0.15">
      <c r="A106" s="15" t="s">
        <v>87</v>
      </c>
      <c r="C106" s="16" t="s">
        <v>88</v>
      </c>
      <c r="D106" s="15" t="s">
        <v>89</v>
      </c>
    </row>
    <row r="107" spans="1:7" x14ac:dyDescent="0.15">
      <c r="A107" s="15" t="s">
        <v>90</v>
      </c>
      <c r="B107" s="15" t="s">
        <v>91</v>
      </c>
      <c r="C107" s="34">
        <f>-C104*1000/96485/C106</f>
        <v>8.4897194962947591</v>
      </c>
      <c r="D107" s="15" t="s">
        <v>92</v>
      </c>
    </row>
    <row r="111" spans="1:7" x14ac:dyDescent="0.15">
      <c r="A111" s="8" t="s">
        <v>93</v>
      </c>
    </row>
    <row r="112" spans="1:7" x14ac:dyDescent="0.15">
      <c r="A112" s="15" t="s">
        <v>94</v>
      </c>
      <c r="B112" s="15" t="s">
        <v>95</v>
      </c>
      <c r="C112" s="16">
        <v>10</v>
      </c>
      <c r="D112" s="15" t="s">
        <v>96</v>
      </c>
    </row>
    <row r="113" spans="1:7" x14ac:dyDescent="0.15">
      <c r="A113" s="15" t="s">
        <v>97</v>
      </c>
      <c r="B113" s="15" t="s">
        <v>77</v>
      </c>
      <c r="C113" s="34" t="e">
        <f>(I86*1000+(C112-1)*101300*0.000001*I95)/I89</f>
        <v>#NUM!</v>
      </c>
      <c r="D113" s="15" t="s">
        <v>78</v>
      </c>
      <c r="F113" s="34" t="e">
        <f>C113-273.15</f>
        <v>#NUM!</v>
      </c>
      <c r="G113" s="15" t="s">
        <v>79</v>
      </c>
    </row>
    <row r="114" spans="1:7" x14ac:dyDescent="0.15">
      <c r="A114" s="15" t="s">
        <v>98</v>
      </c>
      <c r="B114" s="15" t="s">
        <v>77</v>
      </c>
      <c r="C114" s="34">
        <f>F114+273.15</f>
        <v>293.14999999999998</v>
      </c>
      <c r="D114" s="15" t="s">
        <v>78</v>
      </c>
      <c r="F114" s="16">
        <v>20</v>
      </c>
      <c r="G114" s="15" t="s">
        <v>79</v>
      </c>
    </row>
    <row r="115" spans="1:7" x14ac:dyDescent="0.15">
      <c r="A115" s="15" t="s">
        <v>99</v>
      </c>
      <c r="B115" s="15" t="s">
        <v>82</v>
      </c>
      <c r="C115" s="34" t="e">
        <f>I86-C114*I89/1000+(C112-1)*101300*I95/1000000000</f>
        <v>#NUM!</v>
      </c>
      <c r="D115" s="15" t="s">
        <v>63</v>
      </c>
    </row>
    <row r="116" spans="1:7" x14ac:dyDescent="0.15">
      <c r="A116" s="15" t="s">
        <v>100</v>
      </c>
      <c r="B116" s="15" t="s">
        <v>84</v>
      </c>
      <c r="C116" s="34" t="e">
        <f>EXP(-C115*1000/8.314/C114)</f>
        <v>#NUM!</v>
      </c>
      <c r="D116" s="15" t="s">
        <v>85</v>
      </c>
      <c r="E116" s="15" t="s">
        <v>86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2025-12-01T16:22:33Z</dcterms:created>
  <dcterms:modified xsi:type="dcterms:W3CDTF">2025-12-01T16:46:27Z</dcterms:modified>
</cp:coreProperties>
</file>