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rsle\Git\ksr-chemie\docs\experimente\stoechiometrie\stoechiometrische_berechnungen\assets\"/>
    </mc:Choice>
  </mc:AlternateContent>
  <xr:revisionPtr revIDLastSave="0" documentId="13_ncr:1_{424D7B94-A11E-4C5F-BFE0-FBB375B6C109}" xr6:coauthVersionLast="47" xr6:coauthVersionMax="47" xr10:uidLastSave="{00000000-0000-0000-0000-000000000000}"/>
  <bookViews>
    <workbookView xWindow="3330" yWindow="1340" windowWidth="20640" windowHeight="9970" xr2:uid="{5D8A4121-09EE-4F0D-8555-8356A3EA505E}"/>
  </bookViews>
  <sheets>
    <sheet name="Stöchiometrie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L11" i="1" l="1"/>
  <c r="L12" i="1"/>
  <c r="L13" i="1"/>
  <c r="L14" i="1"/>
  <c r="L16" i="1"/>
  <c r="C21" i="1"/>
  <c r="D21" i="1"/>
  <c r="D27" i="1" s="1"/>
  <c r="F21" i="1"/>
  <c r="F27" i="1" s="1"/>
  <c r="G21" i="1"/>
  <c r="H21" i="1"/>
  <c r="C22" i="1"/>
  <c r="C27" i="1" s="1"/>
  <c r="D22" i="1"/>
  <c r="F22" i="1"/>
  <c r="G22" i="1"/>
  <c r="G27" i="1" s="1"/>
  <c r="H22" i="1"/>
  <c r="H27" i="1" s="1"/>
  <c r="C23" i="1"/>
  <c r="D23" i="1"/>
  <c r="F23" i="1"/>
  <c r="G23" i="1"/>
  <c r="H23" i="1"/>
  <c r="C24" i="1"/>
  <c r="D24" i="1"/>
  <c r="F24" i="1"/>
  <c r="G24" i="1"/>
  <c r="H24" i="1"/>
  <c r="C25" i="1"/>
  <c r="D25" i="1"/>
  <c r="F25" i="1"/>
  <c r="G25" i="1"/>
  <c r="H25" i="1"/>
  <c r="B43" i="1"/>
  <c r="C47" i="1"/>
  <c r="C48" i="1" s="1"/>
  <c r="D47" i="1"/>
  <c r="D48" i="1" s="1"/>
  <c r="F47" i="1"/>
  <c r="F49" i="1" s="1"/>
  <c r="F50" i="1" s="1"/>
  <c r="G47" i="1"/>
  <c r="G49" i="1" s="1"/>
  <c r="G50" i="1" s="1"/>
  <c r="H47" i="1"/>
  <c r="H49" i="1" s="1"/>
  <c r="H50" i="1" s="1"/>
  <c r="H48" i="1"/>
  <c r="C49" i="1"/>
  <c r="C50" i="1" s="1"/>
  <c r="D49" i="1"/>
  <c r="D50" i="1" s="1"/>
  <c r="C53" i="1"/>
  <c r="D53" i="1"/>
  <c r="F53" i="1"/>
  <c r="G53" i="1"/>
  <c r="H53" i="1"/>
  <c r="C56" i="1"/>
  <c r="D56" i="1"/>
  <c r="F56" i="1"/>
  <c r="G56" i="1"/>
  <c r="H56" i="1"/>
  <c r="L7" i="1"/>
  <c r="L10" i="1"/>
  <c r="C65" i="1"/>
  <c r="J65" i="1" s="1"/>
  <c r="D65" i="1"/>
  <c r="F65" i="1"/>
  <c r="G65" i="1"/>
  <c r="H65" i="1"/>
  <c r="C86" i="1"/>
  <c r="D86" i="1"/>
  <c r="F86" i="1"/>
  <c r="G86" i="1"/>
  <c r="H86" i="1"/>
  <c r="J86" i="1"/>
  <c r="C104" i="1" s="1"/>
  <c r="C89" i="1"/>
  <c r="D89" i="1"/>
  <c r="F89" i="1"/>
  <c r="G89" i="1"/>
  <c r="H89" i="1"/>
  <c r="J89" i="1"/>
  <c r="C92" i="1"/>
  <c r="J92" i="1" s="1"/>
  <c r="D92" i="1"/>
  <c r="F92" i="1"/>
  <c r="G92" i="1"/>
  <c r="H92" i="1"/>
  <c r="C95" i="1"/>
  <c r="J95" i="1" s="1"/>
  <c r="D95" i="1"/>
  <c r="F95" i="1"/>
  <c r="G95" i="1"/>
  <c r="H95" i="1"/>
  <c r="C103" i="1"/>
  <c r="C114" i="1"/>
  <c r="C107" i="1" l="1"/>
  <c r="C105" i="1"/>
  <c r="F105" i="1"/>
  <c r="B27" i="1"/>
  <c r="C115" i="1"/>
  <c r="G48" i="1"/>
  <c r="F48" i="1"/>
  <c r="C101" i="1"/>
  <c r="F101" i="1" s="1"/>
  <c r="C113" i="1"/>
  <c r="F113" i="1" s="1"/>
  <c r="F116" i="1" l="1"/>
  <c r="C116" i="1"/>
  <c r="H34" i="1"/>
  <c r="C34" i="1"/>
  <c r="D34" i="1"/>
  <c r="F34" i="1"/>
  <c r="G34" i="1"/>
  <c r="F32" i="1" l="1"/>
  <c r="F43" i="1"/>
  <c r="H32" i="1"/>
  <c r="H43" i="1"/>
  <c r="G32" i="1"/>
  <c r="G43" i="1"/>
  <c r="D32" i="1"/>
  <c r="D43" i="1"/>
  <c r="C43" i="1"/>
  <c r="C32" i="1"/>
</calcChain>
</file>

<file path=xl/sharedStrings.xml><?xml version="1.0" encoding="utf-8"?>
<sst xmlns="http://schemas.openxmlformats.org/spreadsheetml/2006/main" count="165" uniqueCount="105">
  <si>
    <t>Reaktionsgleichung</t>
  </si>
  <si>
    <t>molare Menge</t>
  </si>
  <si>
    <t>molare Menge n [mol]</t>
  </si>
  <si>
    <t>Masse</t>
  </si>
  <si>
    <t>Masse m [g]</t>
  </si>
  <si>
    <t>Gasvolumen</t>
  </si>
  <si>
    <t>Gasvolumen [L]</t>
  </si>
  <si>
    <t>Temperatur [°C]</t>
  </si>
  <si>
    <t>Druck [Pa]</t>
  </si>
  <si>
    <t>Konzentration oder Dichte und Volumen</t>
  </si>
  <si>
    <t>Volumen [L]</t>
  </si>
  <si>
    <t>Konzentration [g·L⁻¹]</t>
  </si>
  <si>
    <t>Konzentration [mol·L⁻¹]</t>
  </si>
  <si>
    <t>xi_max n [mol]</t>
  </si>
  <si>
    <t>xi_max m [mol]</t>
  </si>
  <si>
    <t>xi_max Gasvolumen [mol]</t>
  </si>
  <si>
    <t>xi_max Massenkonzentration [mol]</t>
  </si>
  <si>
    <t>xi_max molare Konzentration [mol]</t>
  </si>
  <si>
    <t>xi total [mol FU]</t>
  </si>
  <si>
    <t>Stöchiometrische Tabelle</t>
  </si>
  <si>
    <t>RG</t>
  </si>
  <si>
    <t>Koeffizienten</t>
  </si>
  <si>
    <t>m</t>
  </si>
  <si>
    <t>g</t>
  </si>
  <si>
    <t>M</t>
  </si>
  <si>
    <t>[g·mol⁻¹]</t>
  </si>
  <si>
    <t>n</t>
  </si>
  <si>
    <t>[mol]</t>
  </si>
  <si>
    <t>→</t>
  </si>
  <si>
    <t>Folgerechnungen</t>
  </si>
  <si>
    <t>Molares Volumen [L mol⁻¹], Gasvolumen [L]</t>
  </si>
  <si>
    <t>Konzentration und Volumen</t>
  </si>
  <si>
    <t>Konzentration [mol/L]</t>
  </si>
  <si>
    <t>Konzentration [g/L]</t>
  </si>
  <si>
    <t>Partialdruck [Pa]</t>
  </si>
  <si>
    <t>Partialdruck [atm]</t>
  </si>
  <si>
    <t>-1 NaHCO₃</t>
  </si>
  <si>
    <t>-1 NaHSO₄</t>
  </si>
  <si>
    <t>1 Na₂SO₄</t>
  </si>
  <si>
    <t>1 CO₂</t>
  </si>
  <si>
    <t>1 H₂O</t>
  </si>
  <si>
    <t>Kontrollen</t>
  </si>
  <si>
    <t>Werte pro molarem Formelumsatz</t>
  </si>
  <si>
    <t>Δ</t>
  </si>
  <si>
    <t>Edukte</t>
  </si>
  <si>
    <t>Produkte</t>
  </si>
  <si>
    <t>Atomsorten</t>
  </si>
  <si>
    <t>Na</t>
  </si>
  <si>
    <t>H</t>
  </si>
  <si>
    <t>C</t>
  </si>
  <si>
    <t>O</t>
  </si>
  <si>
    <t>S</t>
  </si>
  <si>
    <t>Ladung</t>
  </si>
  <si>
    <t>Fehler</t>
  </si>
  <si>
    <t>2CO=</t>
  </si>
  <si>
    <t>2OH</t>
  </si>
  <si>
    <t>Abschätzung der Reaktionsenthalpie aus den Bindungsenthalpien:</t>
  </si>
  <si>
    <t>[kJ/mol Teilchen]:</t>
  </si>
  <si>
    <t>[kJ/mol FU]:</t>
  </si>
  <si>
    <t>Summe:</t>
  </si>
  <si>
    <t>kJ / mol FU</t>
  </si>
  <si>
    <t>Berücksichtigte Bindungen:</t>
  </si>
  <si>
    <t>[kJ/mol Bindung]:</t>
  </si>
  <si>
    <t>Berechnung thermodynamischer Grössen:</t>
  </si>
  <si>
    <t>ΔH°f</t>
  </si>
  <si>
    <t>kJ mol⁻¹</t>
  </si>
  <si>
    <t>ΔHᵣ</t>
  </si>
  <si>
    <t>kJ (mol FU)⁻¹</t>
  </si>
  <si>
    <t>S°</t>
  </si>
  <si>
    <t>J mol⁻¹ K⁻¹</t>
  </si>
  <si>
    <t>ΔSᵣ</t>
  </si>
  <si>
    <t>J (mol FU)⁻¹ K⁻¹</t>
  </si>
  <si>
    <t>ΔG°f Tabelle</t>
  </si>
  <si>
    <t>ΔGᵣ Tabelle</t>
  </si>
  <si>
    <t>V°</t>
  </si>
  <si>
    <t>cm⁻³ mol⁻¹</t>
  </si>
  <si>
    <t>ΔV°ᵣ</t>
  </si>
  <si>
    <t>mL (mol FU)⁻¹</t>
  </si>
  <si>
    <t>k.A</t>
  </si>
  <si>
    <t>Übergangstemperatur</t>
  </si>
  <si>
    <t>T =</t>
  </si>
  <si>
    <t>K</t>
  </si>
  <si>
    <t>°C</t>
  </si>
  <si>
    <t>Bei der Temperatur</t>
  </si>
  <si>
    <t>Beträgt ΔGᵣ</t>
  </si>
  <si>
    <t>ΔGᵣ =</t>
  </si>
  <si>
    <t>und die Gleichgewichtskonstante K</t>
  </si>
  <si>
    <t xml:space="preserve">K = </t>
  </si>
  <si>
    <t>k.A.</t>
  </si>
  <si>
    <t xml:space="preserve">pK = </t>
  </si>
  <si>
    <t>Bei folgender Anzahl umgesetzter Elektronen</t>
  </si>
  <si>
    <t>1</t>
  </si>
  <si>
    <t>Elektronen</t>
  </si>
  <si>
    <t>begrägt das Standard-Reduktions-Potential</t>
  </si>
  <si>
    <t>ΔE°</t>
  </si>
  <si>
    <t>V</t>
  </si>
  <si>
    <t>Hohe Drücke</t>
  </si>
  <si>
    <t>bei dem Druck</t>
  </si>
  <si>
    <t>p =</t>
  </si>
  <si>
    <t>atm</t>
  </si>
  <si>
    <t>ist die Übergangstemperatur</t>
  </si>
  <si>
    <t>bei obigem Druck und der Temperatur</t>
  </si>
  <si>
    <t>begrägt die freie Reaktions-Enthalpie</t>
  </si>
  <si>
    <t>und die Gleichgewichtskonstante</t>
  </si>
  <si>
    <t>Kugelradius in cm: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</si>
</sst>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81" x14ac:knownFonts="1"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i/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b/>
      <i/>
      <sz val="10"/>
      <name val="Arial"/>
      <charset val="1"/>
    </font>
    <font>
      <sz val="10"/>
      <color indexed="8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33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 applyNumberFormat="0" applyFill="0" applyBorder="0" applyAlignment="0" applyProtection="0"/>
  </cellStyleXfs>
  <cellXfs count="81">
    <xf numFmtId="0" fontId="0" fillId="0" borderId="0" xfId="0"/>
    <xf numFmtId="164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1" xfId="0" applyFont="1" applyFill="1" applyBorder="1" applyAlignment="1" applyProtection="1"/>
    <xf numFmtId="0" fontId="8" fillId="0" borderId="0" xfId="0" applyFont="1" applyFill="1" applyBorder="1" applyAlignment="1" applyProtection="1"/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 applyProtection="1"/>
    <xf numFmtId="0" fontId="11" fillId="0" borderId="1" xfId="0" applyFont="1" applyFill="1" applyBorder="1" applyAlignment="1" applyProtection="1"/>
    <xf numFmtId="0" fontId="12" fillId="0" borderId="2" xfId="0" applyFont="1" applyFill="1" applyBorder="1" applyAlignment="1" applyProtection="1"/>
    <xf numFmtId="0" fontId="13" fillId="0" borderId="1" xfId="0" applyFont="1" applyFill="1" applyBorder="1" applyAlignment="1" applyProtection="1"/>
    <xf numFmtId="0" fontId="14" fillId="0" borderId="1" xfId="0" applyFont="1" applyFill="1" applyBorder="1" applyAlignment="1" applyProtection="1"/>
    <xf numFmtId="0" fontId="15" fillId="0" borderId="0" xfId="0" applyFont="1" applyFill="1" applyBorder="1" applyAlignment="1" applyProtection="1"/>
    <xf numFmtId="0" fontId="16" fillId="2" borderId="3" xfId="0" applyFont="1" applyFill="1" applyBorder="1" applyAlignment="1" applyProtection="1"/>
    <xf numFmtId="0" fontId="17" fillId="0" borderId="4" xfId="0" applyFont="1" applyFill="1" applyBorder="1" applyAlignment="1" applyProtection="1"/>
    <xf numFmtId="0" fontId="18" fillId="0" borderId="2" xfId="0" applyFont="1" applyFill="1" applyBorder="1" applyAlignment="1" applyProtection="1"/>
    <xf numFmtId="0" fontId="19" fillId="0" borderId="2" xfId="0" applyFont="1" applyFill="1" applyBorder="1" applyAlignment="1" applyProtection="1"/>
    <xf numFmtId="0" fontId="20" fillId="0" borderId="4" xfId="0" applyFont="1" applyFill="1" applyBorder="1" applyAlignment="1" applyProtection="1"/>
    <xf numFmtId="0" fontId="21" fillId="0" borderId="4" xfId="0" applyFont="1" applyFill="1" applyBorder="1" applyAlignment="1" applyProtection="1"/>
    <xf numFmtId="0" fontId="22" fillId="0" borderId="2" xfId="0" applyFont="1" applyFill="1" applyBorder="1" applyAlignment="1" applyProtection="1"/>
    <xf numFmtId="0" fontId="23" fillId="0" borderId="4" xfId="0" applyFont="1" applyFill="1" applyBorder="1" applyAlignment="1" applyProtection="1"/>
    <xf numFmtId="0" fontId="24" fillId="0" borderId="2" xfId="0" applyFont="1" applyFill="1" applyBorder="1" applyAlignment="1" applyProtection="1"/>
    <xf numFmtId="0" fontId="25" fillId="0" borderId="2" xfId="0" applyFont="1" applyFill="1" applyBorder="1" applyAlignment="1" applyProtection="1"/>
    <xf numFmtId="0" fontId="26" fillId="0" borderId="4" xfId="0" applyFont="1" applyFill="1" applyBorder="1" applyAlignment="1" applyProtection="1"/>
    <xf numFmtId="0" fontId="27" fillId="0" borderId="4" xfId="0" applyFont="1" applyFill="1" applyBorder="1" applyAlignment="1" applyProtection="1"/>
    <xf numFmtId="0" fontId="28" fillId="0" borderId="4" xfId="0" applyFont="1" applyFill="1" applyBorder="1" applyAlignment="1" applyProtection="1"/>
    <xf numFmtId="0" fontId="29" fillId="0" borderId="1" xfId="0" applyFont="1" applyFill="1" applyBorder="1" applyAlignment="1" applyProtection="1"/>
    <xf numFmtId="0" fontId="30" fillId="0" borderId="2" xfId="0" applyFont="1" applyFill="1" applyBorder="1" applyAlignment="1" applyProtection="1"/>
    <xf numFmtId="0" fontId="31" fillId="0" borderId="0" xfId="0" applyFont="1" applyFill="1" applyBorder="1" applyAlignment="1" applyProtection="1"/>
    <xf numFmtId="0" fontId="32" fillId="0" borderId="2" xfId="0" applyFont="1" applyFill="1" applyBorder="1" applyAlignment="1" applyProtection="1"/>
    <xf numFmtId="0" fontId="33" fillId="0" borderId="4" xfId="0" applyFont="1" applyFill="1" applyBorder="1" applyAlignment="1" applyProtection="1"/>
    <xf numFmtId="0" fontId="34" fillId="0" borderId="3" xfId="0" applyFont="1" applyFill="1" applyBorder="1" applyAlignment="1" applyProtection="1"/>
    <xf numFmtId="0" fontId="35" fillId="0" borderId="2" xfId="0" applyFont="1" applyFill="1" applyBorder="1" applyAlignment="1" applyProtection="1"/>
    <xf numFmtId="0" fontId="36" fillId="0" borderId="2" xfId="0" applyFont="1" applyFill="1" applyBorder="1" applyAlignment="1" applyProtection="1"/>
    <xf numFmtId="0" fontId="37" fillId="0" borderId="2" xfId="0" applyFont="1" applyFill="1" applyBorder="1" applyAlignment="1" applyProtection="1"/>
    <xf numFmtId="0" fontId="38" fillId="0" borderId="4" xfId="0" applyFont="1" applyFill="1" applyBorder="1" applyAlignment="1" applyProtection="1"/>
    <xf numFmtId="0" fontId="39" fillId="0" borderId="4" xfId="0" applyFont="1" applyFill="1" applyBorder="1" applyAlignment="1" applyProtection="1"/>
    <xf numFmtId="0" fontId="40" fillId="0" borderId="4" xfId="0" applyFont="1" applyFill="1" applyBorder="1" applyAlignment="1" applyProtection="1"/>
    <xf numFmtId="0" fontId="41" fillId="0" borderId="2" xfId="0" applyFont="1" applyFill="1" applyBorder="1" applyAlignment="1" applyProtection="1"/>
    <xf numFmtId="0" fontId="42" fillId="0" borderId="4" xfId="0" applyFont="1" applyFill="1" applyBorder="1" applyAlignment="1" applyProtection="1"/>
    <xf numFmtId="0" fontId="43" fillId="0" borderId="2" xfId="0" applyFont="1" applyFill="1" applyBorder="1" applyAlignment="1" applyProtection="1"/>
    <xf numFmtId="0" fontId="44" fillId="0" borderId="4" xfId="0" applyFont="1" applyFill="1" applyBorder="1" applyAlignment="1" applyProtection="1"/>
    <xf numFmtId="0" fontId="45" fillId="0" borderId="2" xfId="0" applyFont="1" applyFill="1" applyBorder="1" applyAlignment="1" applyProtection="1"/>
    <xf numFmtId="0" fontId="46" fillId="0" borderId="4" xfId="0" applyFont="1" applyFill="1" applyBorder="1" applyAlignment="1" applyProtection="1"/>
    <xf numFmtId="0" fontId="47" fillId="0" borderId="2" xfId="0" applyFont="1" applyFill="1" applyBorder="1" applyAlignment="1" applyProtection="1"/>
    <xf numFmtId="0" fontId="48" fillId="0" borderId="4" xfId="0" applyFont="1" applyFill="1" applyBorder="1" applyAlignment="1" applyProtection="1"/>
    <xf numFmtId="0" fontId="49" fillId="0" borderId="2" xfId="0" applyFont="1" applyFill="1" applyBorder="1" applyAlignment="1" applyProtection="1"/>
    <xf numFmtId="0" fontId="50" fillId="0" borderId="4" xfId="0" applyFont="1" applyFill="1" applyBorder="1" applyAlignment="1" applyProtection="1"/>
    <xf numFmtId="0" fontId="51" fillId="0" borderId="2" xfId="0" applyFont="1" applyFill="1" applyBorder="1" applyAlignment="1" applyProtection="1"/>
    <xf numFmtId="0" fontId="52" fillId="0" borderId="4" xfId="0" applyFont="1" applyFill="1" applyBorder="1" applyAlignment="1" applyProtection="1"/>
    <xf numFmtId="0" fontId="53" fillId="0" borderId="0" xfId="0" applyFont="1" applyFill="1" applyBorder="1" applyAlignment="1" applyProtection="1"/>
    <xf numFmtId="0" fontId="54" fillId="0" borderId="0" xfId="0" applyFont="1" applyFill="1" applyBorder="1" applyAlignment="1" applyProtection="1"/>
    <xf numFmtId="0" fontId="55" fillId="0" borderId="0" xfId="0" applyFont="1" applyFill="1" applyBorder="1" applyAlignment="1" applyProtection="1"/>
    <xf numFmtId="0" fontId="56" fillId="0" borderId="0" xfId="0" applyFont="1" applyFill="1" applyBorder="1" applyAlignment="1" applyProtection="1"/>
    <xf numFmtId="0" fontId="57" fillId="0" borderId="0" xfId="0" applyFont="1" applyFill="1" applyBorder="1" applyAlignment="1" applyProtection="1"/>
    <xf numFmtId="0" fontId="58" fillId="0" borderId="0" xfId="0" applyFont="1" applyFill="1" applyBorder="1" applyAlignment="1" applyProtection="1"/>
    <xf numFmtId="0" fontId="59" fillId="0" borderId="0" xfId="0" applyFont="1" applyFill="1" applyBorder="1" applyAlignment="1" applyProtection="1"/>
    <xf numFmtId="0" fontId="60" fillId="0" borderId="0" xfId="0" applyFont="1" applyFill="1" applyBorder="1" applyAlignment="1" applyProtection="1"/>
    <xf numFmtId="0" fontId="61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3" fillId="0" borderId="0" xfId="0" applyFont="1" applyFill="1" applyBorder="1" applyAlignment="1" applyProtection="1"/>
    <xf numFmtId="0" fontId="64" fillId="0" borderId="0" xfId="0" applyFont="1" applyFill="1" applyBorder="1" applyAlignment="1" applyProtection="1"/>
    <xf numFmtId="0" fontId="65" fillId="0" borderId="0" xfId="0" applyFont="1" applyFill="1" applyBorder="1" applyAlignment="1" applyProtection="1"/>
    <xf numFmtId="0" fontId="66" fillId="0" borderId="0" xfId="0" applyFont="1" applyFill="1" applyBorder="1" applyAlignment="1" applyProtection="1"/>
    <xf numFmtId="0" fontId="67" fillId="0" borderId="0" xfId="0" applyFont="1" applyFill="1" applyBorder="1" applyAlignment="1" applyProtection="1"/>
    <xf numFmtId="0" fontId="68" fillId="0" borderId="0" xfId="0" applyFont="1" applyFill="1" applyBorder="1" applyAlignment="1" applyProtection="1"/>
    <xf numFmtId="0" fontId="69" fillId="0" borderId="0" xfId="0" applyFont="1" applyFill="1" applyBorder="1" applyAlignment="1" applyProtection="1"/>
    <xf numFmtId="0" fontId="70" fillId="0" borderId="0" xfId="0" applyFont="1" applyFill="1" applyBorder="1" applyAlignment="1" applyProtection="1"/>
    <xf numFmtId="0" fontId="71" fillId="0" borderId="0" xfId="0" applyFont="1" applyFill="1" applyBorder="1" applyAlignment="1" applyProtection="1"/>
    <xf numFmtId="0" fontId="72" fillId="0" borderId="2" xfId="0" applyFont="1" applyFill="1" applyBorder="1" applyAlignment="1" applyProtection="1"/>
    <xf numFmtId="0" fontId="73" fillId="0" borderId="2" xfId="0" applyFont="1" applyFill="1" applyBorder="1" applyAlignment="1" applyProtection="1"/>
    <xf numFmtId="0" fontId="74" fillId="0" borderId="2" xfId="0" applyFont="1" applyFill="1" applyBorder="1" applyAlignment="1" applyProtection="1"/>
    <xf numFmtId="0" fontId="75" fillId="0" borderId="4" xfId="0" applyFont="1" applyFill="1" applyBorder="1" applyAlignment="1" applyProtection="1"/>
    <xf numFmtId="0" fontId="76" fillId="0" borderId="4" xfId="0" applyFont="1" applyFill="1" applyBorder="1" applyAlignment="1" applyProtection="1"/>
    <xf numFmtId="0" fontId="77" fillId="0" borderId="4" xfId="0" applyFont="1" applyFill="1" applyBorder="1" applyAlignment="1" applyProtection="1"/>
    <xf numFmtId="0" fontId="78" fillId="0" borderId="2" xfId="0" applyFont="1" applyFill="1" applyBorder="1" applyAlignment="1" applyProtection="1"/>
    <xf numFmtId="0" fontId="79" fillId="0" borderId="2" xfId="0" applyFont="1" applyFill="1" applyBorder="1" applyAlignment="1" applyProtection="1"/>
    <xf numFmtId="0" fontId="80" fillId="0" borderId="2" xfId="0" applyFont="1" applyFill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4E4E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37BA-F474-4E00-943D-A7DCF411D19C}">
  <sheetPr>
    <outlinePr summaryBelow="0" summaryRight="0"/>
  </sheetPr>
  <dimension ref="A1:N116"/>
  <sheetViews>
    <sheetView tabSelected="1" topLeftCell="A27" workbookViewId="0">
      <selection activeCell="K45" sqref="K45"/>
    </sheetView>
  </sheetViews>
  <sheetFormatPr baseColWidth="10" defaultRowHeight="12.5" x14ac:dyDescent="0.25"/>
  <cols>
    <col min="1" max="1" width="40" customWidth="1"/>
  </cols>
  <sheetData>
    <row r="1" spans="1:14" x14ac:dyDescent="0.25">
      <c r="F1" s="1">
        <v>45977.676215277781</v>
      </c>
    </row>
    <row r="3" spans="1:14" ht="13" x14ac:dyDescent="0.3">
      <c r="A3" s="2" t="s">
        <v>0</v>
      </c>
      <c r="B3" s="3"/>
      <c r="C3" s="34" t="s">
        <v>36</v>
      </c>
      <c r="D3" s="34" t="s">
        <v>37</v>
      </c>
      <c r="E3" s="29" t="s">
        <v>28</v>
      </c>
      <c r="F3" s="34" t="s">
        <v>38</v>
      </c>
      <c r="G3" s="34" t="s">
        <v>39</v>
      </c>
      <c r="H3" s="34" t="s">
        <v>40</v>
      </c>
    </row>
    <row r="5" spans="1:14" ht="13" x14ac:dyDescent="0.3">
      <c r="A5" s="4" t="s">
        <v>1</v>
      </c>
      <c r="K5" s="53" t="s">
        <v>41</v>
      </c>
      <c r="L5" s="15" t="s">
        <v>42</v>
      </c>
    </row>
    <row r="6" spans="1:14" ht="13" x14ac:dyDescent="0.3">
      <c r="A6" s="5" t="s">
        <v>2</v>
      </c>
      <c r="B6" s="6"/>
      <c r="C6" s="16"/>
      <c r="D6" s="16"/>
      <c r="E6" s="7"/>
      <c r="F6" s="16"/>
      <c r="G6" s="16"/>
      <c r="H6" s="16"/>
      <c r="L6" s="54" t="s">
        <v>43</v>
      </c>
      <c r="M6" s="55" t="s">
        <v>44</v>
      </c>
      <c r="N6" s="56" t="s">
        <v>45</v>
      </c>
    </row>
    <row r="7" spans="1:14" ht="13" x14ac:dyDescent="0.3">
      <c r="K7" s="57" t="s">
        <v>22</v>
      </c>
      <c r="L7" s="58">
        <f>N7+M7</f>
        <v>0</v>
      </c>
      <c r="M7" s="15">
        <v>-204.06923999999998</v>
      </c>
      <c r="N7" s="15">
        <v>204.06924000000001</v>
      </c>
    </row>
    <row r="8" spans="1:14" ht="13" x14ac:dyDescent="0.3">
      <c r="A8" s="8" t="s">
        <v>3</v>
      </c>
    </row>
    <row r="9" spans="1:14" ht="13" x14ac:dyDescent="0.3">
      <c r="A9" s="9" t="s">
        <v>4</v>
      </c>
      <c r="B9" s="10" t="s">
        <v>4</v>
      </c>
      <c r="C9" s="16">
        <v>10</v>
      </c>
      <c r="D9" s="16"/>
      <c r="E9" s="11"/>
      <c r="F9" s="16"/>
      <c r="G9" s="16"/>
      <c r="H9" s="16"/>
      <c r="K9" s="59" t="s">
        <v>46</v>
      </c>
    </row>
    <row r="10" spans="1:14" x14ac:dyDescent="0.25">
      <c r="K10" s="60" t="s">
        <v>47</v>
      </c>
      <c r="L10" s="61">
        <f>N10+M10</f>
        <v>0</v>
      </c>
      <c r="M10" s="15">
        <v>-2</v>
      </c>
      <c r="N10" s="15">
        <v>2</v>
      </c>
    </row>
    <row r="11" spans="1:14" ht="13" x14ac:dyDescent="0.3">
      <c r="A11" s="8" t="s">
        <v>5</v>
      </c>
      <c r="K11" s="62" t="s">
        <v>48</v>
      </c>
      <c r="L11" s="63">
        <f>N11+M11</f>
        <v>0</v>
      </c>
      <c r="M11" s="15">
        <v>-2</v>
      </c>
      <c r="N11" s="15">
        <v>2</v>
      </c>
    </row>
    <row r="12" spans="1:14" x14ac:dyDescent="0.25">
      <c r="A12" s="12" t="s">
        <v>6</v>
      </c>
      <c r="B12" s="13"/>
      <c r="C12" s="16"/>
      <c r="D12" s="16"/>
      <c r="E12" s="14"/>
      <c r="F12" s="16"/>
      <c r="G12" s="16"/>
      <c r="H12" s="16"/>
      <c r="K12" s="64" t="s">
        <v>49</v>
      </c>
      <c r="L12" s="65">
        <f>N12+M12</f>
        <v>0</v>
      </c>
      <c r="M12" s="15">
        <v>-1</v>
      </c>
      <c r="N12" s="15">
        <v>1</v>
      </c>
    </row>
    <row r="13" spans="1:14" x14ac:dyDescent="0.25">
      <c r="A13" s="15" t="s">
        <v>7</v>
      </c>
      <c r="B13" s="16">
        <v>20</v>
      </c>
      <c r="K13" s="66" t="s">
        <v>50</v>
      </c>
      <c r="L13" s="67">
        <f>N13+M13</f>
        <v>0</v>
      </c>
      <c r="M13" s="15">
        <v>-7</v>
      </c>
      <c r="N13" s="15">
        <v>7</v>
      </c>
    </row>
    <row r="14" spans="1:14" x14ac:dyDescent="0.25">
      <c r="A14" s="17" t="s">
        <v>8</v>
      </c>
      <c r="B14" s="16">
        <v>101300</v>
      </c>
      <c r="K14" s="68" t="s">
        <v>51</v>
      </c>
      <c r="L14" s="69">
        <f>N14+M14</f>
        <v>0</v>
      </c>
      <c r="M14" s="15">
        <v>-1</v>
      </c>
      <c r="N14" s="15">
        <v>1</v>
      </c>
    </row>
    <row r="16" spans="1:14" ht="13" x14ac:dyDescent="0.3">
      <c r="A16" s="8" t="s">
        <v>9</v>
      </c>
      <c r="K16" s="70" t="s">
        <v>52</v>
      </c>
      <c r="L16" s="71">
        <f>N15+M15</f>
        <v>0</v>
      </c>
      <c r="M16" s="15">
        <v>0</v>
      </c>
      <c r="N16" s="15">
        <v>0</v>
      </c>
    </row>
    <row r="17" spans="1:8" x14ac:dyDescent="0.25">
      <c r="A17" s="18" t="s">
        <v>10</v>
      </c>
      <c r="B17" s="19"/>
      <c r="C17" s="16"/>
      <c r="D17" s="16"/>
      <c r="E17" s="22"/>
      <c r="F17" s="16"/>
      <c r="G17" s="16"/>
      <c r="H17" s="16"/>
    </row>
    <row r="18" spans="1:8" x14ac:dyDescent="0.25">
      <c r="A18" s="15" t="s">
        <v>11</v>
      </c>
      <c r="C18" s="16"/>
      <c r="D18" s="16"/>
      <c r="F18" s="16"/>
      <c r="G18" s="16"/>
      <c r="H18" s="16"/>
    </row>
    <row r="19" spans="1:8" x14ac:dyDescent="0.25">
      <c r="A19" s="20" t="s">
        <v>12</v>
      </c>
      <c r="B19" s="21"/>
      <c r="C19" s="16"/>
      <c r="D19" s="16"/>
      <c r="E19" s="23"/>
      <c r="F19" s="16"/>
      <c r="G19" s="16"/>
      <c r="H19" s="16"/>
    </row>
    <row r="21" spans="1:8" x14ac:dyDescent="0.25">
      <c r="A21" s="15" t="s">
        <v>13</v>
      </c>
      <c r="C21" s="15">
        <f>IF(AND(C6&gt;0,C33&gt;0),ABS(C6/C31),0)</f>
        <v>0</v>
      </c>
      <c r="D21" s="15">
        <f>IF(AND(D6&gt;0,D33&gt;0),ABS(D6/D31),0)</f>
        <v>0</v>
      </c>
      <c r="F21" s="15">
        <f>IF(AND(F6&gt;0,F33&gt;0),ABS(F6/F31),0)</f>
        <v>0</v>
      </c>
      <c r="G21" s="15">
        <f>IF(AND(G6&gt;0,G33&gt;0),ABS(G6/G31),0)</f>
        <v>0</v>
      </c>
      <c r="H21" s="15">
        <f>IF(AND(H6&gt;0,H33&gt;0),ABS(H6/H31),0)</f>
        <v>0</v>
      </c>
    </row>
    <row r="22" spans="1:8" x14ac:dyDescent="0.25">
      <c r="A22" s="15" t="s">
        <v>14</v>
      </c>
      <c r="C22" s="15">
        <f>IF(AND(C9&gt;0,C33&gt;0),ABS(C9/C33/C31),0)</f>
        <v>0.11903769923934909</v>
      </c>
      <c r="D22" s="15">
        <f>IF(AND(D9&gt;0,D33&gt;0),ABS(D9/D33/D31),0)</f>
        <v>0</v>
      </c>
      <c r="F22" s="15">
        <f>IF(AND(F9&gt;0,F33&gt;0),ABS(F9/F33/F31),0)</f>
        <v>0</v>
      </c>
      <c r="G22" s="15">
        <f>IF(AND(G9&gt;0,G33&gt;0),ABS(G9/G33/G31),0)</f>
        <v>0</v>
      </c>
      <c r="H22" s="15">
        <f>IF(AND(H9&gt;0,H33&gt;0),ABS(H9/H33/H31),0)</f>
        <v>0</v>
      </c>
    </row>
    <row r="23" spans="1:8" x14ac:dyDescent="0.25">
      <c r="A23" s="15" t="s">
        <v>15</v>
      </c>
      <c r="C23" s="15">
        <f>IF(AND(C12&gt;0,C31&lt;&gt;0),ABS($B14*C12/1000/8.314/($B13+273.15)/C31),0)</f>
        <v>0</v>
      </c>
      <c r="D23" s="15">
        <f>IF(AND(D12&gt;0,D31&lt;&gt;0),ABS($B14*D12/1000/8.314/($B13+273.15)/D31),0)</f>
        <v>0</v>
      </c>
      <c r="F23" s="15">
        <f>IF(AND(F12&gt;0,F31&lt;&gt;0),ABS($B14*F12/1000/8.314/($B13+273.15)/F31),0)</f>
        <v>0</v>
      </c>
      <c r="G23" s="15">
        <f>IF(AND(G12&gt;0,G31&lt;&gt;0),ABS($B14*G12/1000/8.314/($B13+273.15)/G31),0)</f>
        <v>0</v>
      </c>
      <c r="H23" s="15">
        <f>IF(AND(H12&gt;0,H31&lt;&gt;0),ABS($B14*H12/1000/8.314/($B13+273.15)/H31),0)</f>
        <v>0</v>
      </c>
    </row>
    <row r="24" spans="1:8" x14ac:dyDescent="0.25">
      <c r="A24" s="15" t="s">
        <v>16</v>
      </c>
      <c r="C24" s="15">
        <f>IF(AND(C17&gt;0,C31&lt;&gt;0,C18&gt;0),ABS(C18/C33*C17/C31),0)</f>
        <v>0</v>
      </c>
      <c r="D24" s="15">
        <f>IF(AND(D17&gt;0,D31&lt;&gt;0,D18&gt;0),ABS(D18/D33*D17/D31),0)</f>
        <v>0</v>
      </c>
      <c r="F24" s="15">
        <f>IF(AND(F17&gt;0,F31&lt;&gt;0,F18&gt;0),ABS(F18/F33*F17/F31),0)</f>
        <v>0</v>
      </c>
      <c r="G24" s="15">
        <f>IF(AND(G17&gt;0,G31&lt;&gt;0,G18&gt;0),ABS(G18/G33*G17/G31),0)</f>
        <v>0</v>
      </c>
      <c r="H24" s="15">
        <f>IF(AND(H17&gt;0,H31&lt;&gt;0,H18&gt;0),ABS(H18/H33*H17/H31),0)</f>
        <v>0</v>
      </c>
    </row>
    <row r="25" spans="1:8" x14ac:dyDescent="0.25">
      <c r="A25" s="15" t="s">
        <v>17</v>
      </c>
      <c r="C25" s="15">
        <f>IF(AND(C19&gt;0,C17&gt;0,C31&lt;&gt;0),ABS(C19*C17/C31),0)</f>
        <v>0</v>
      </c>
      <c r="D25" s="15">
        <f>IF(AND(D19&gt;0,D17&gt;0,D31&lt;&gt;0),ABS(D19*D17/D31),0)</f>
        <v>0</v>
      </c>
      <c r="F25" s="15">
        <f>IF(AND(F19&gt;0,F17&gt;0,F31&lt;&gt;0),ABS(F19*F17/F31),0)</f>
        <v>0</v>
      </c>
      <c r="G25" s="15">
        <f>IF(AND(G19&gt;0,G17&gt;0,G31&lt;&gt;0),ABS(G19*G17/G31),0)</f>
        <v>0</v>
      </c>
      <c r="H25" s="15">
        <f>IF(AND(H19&gt;0,H17&gt;0,H31&lt;&gt;0),ABS(H19*H17/H31),0)</f>
        <v>0</v>
      </c>
    </row>
    <row r="27" spans="1:8" ht="13" x14ac:dyDescent="0.3">
      <c r="A27" s="15" t="s">
        <v>18</v>
      </c>
      <c r="B27" s="8">
        <f>IF(MAX(C27:I27)&gt;0,SMALL(C27:I27,COUNTIF($C$27:$I$27,0)+1),0)</f>
        <v>0.11903769923934909</v>
      </c>
      <c r="C27" s="15">
        <f>MAX(C21:C25)</f>
        <v>0.11903769923934909</v>
      </c>
      <c r="D27" s="15">
        <f>MAX(D21:D25)</f>
        <v>0</v>
      </c>
      <c r="F27" s="15">
        <f>MAX(F21:F25)</f>
        <v>0</v>
      </c>
      <c r="G27" s="15">
        <f>MAX(G21:G25)</f>
        <v>0</v>
      </c>
      <c r="H27" s="15">
        <f>MAX(H21:H25)</f>
        <v>0</v>
      </c>
    </row>
    <row r="29" spans="1:8" ht="13" x14ac:dyDescent="0.3">
      <c r="A29" s="8" t="s">
        <v>19</v>
      </c>
    </row>
    <row r="30" spans="1:8" x14ac:dyDescent="0.25">
      <c r="A30" s="24" t="s">
        <v>20</v>
      </c>
      <c r="B30" s="25"/>
      <c r="C30" s="34" t="s">
        <v>36</v>
      </c>
      <c r="D30" s="34" t="s">
        <v>37</v>
      </c>
      <c r="E30" s="30" t="s">
        <v>28</v>
      </c>
      <c r="F30" s="34" t="s">
        <v>38</v>
      </c>
      <c r="G30" s="34" t="s">
        <v>39</v>
      </c>
      <c r="H30" s="34" t="s">
        <v>40</v>
      </c>
    </row>
    <row r="31" spans="1:8" x14ac:dyDescent="0.25">
      <c r="A31" s="15" t="s">
        <v>21</v>
      </c>
      <c r="C31" s="34">
        <v>-1</v>
      </c>
      <c r="D31" s="34">
        <v>-1</v>
      </c>
      <c r="F31" s="34">
        <v>1</v>
      </c>
      <c r="G31" s="34">
        <v>1</v>
      </c>
      <c r="H31" s="34">
        <v>1</v>
      </c>
    </row>
    <row r="32" spans="1:8" x14ac:dyDescent="0.25">
      <c r="A32" s="15" t="s">
        <v>22</v>
      </c>
      <c r="B32" s="15" t="s">
        <v>23</v>
      </c>
      <c r="C32" s="34">
        <f>C33*C34</f>
        <v>-10</v>
      </c>
      <c r="D32" s="34">
        <f>D33*D34</f>
        <v>-14.291904246074731</v>
      </c>
      <c r="F32" s="34">
        <f>F33*F34</f>
        <v>16.908590950754103</v>
      </c>
      <c r="G32" s="34">
        <f>G33*G34</f>
        <v>5.238849143523753</v>
      </c>
      <c r="H32" s="34">
        <f>H33*H34</f>
        <v>2.1444998631066459</v>
      </c>
    </row>
    <row r="33" spans="1:11" x14ac:dyDescent="0.25">
      <c r="A33" s="15" t="s">
        <v>24</v>
      </c>
      <c r="B33" s="15" t="s">
        <v>25</v>
      </c>
      <c r="C33" s="34">
        <v>84.007000000000005</v>
      </c>
      <c r="D33" s="34">
        <v>120.062</v>
      </c>
      <c r="F33" s="34">
        <v>142.04400000000001</v>
      </c>
      <c r="G33" s="34">
        <v>44.01</v>
      </c>
      <c r="H33" s="34">
        <v>18.0153</v>
      </c>
    </row>
    <row r="34" spans="1:11" x14ac:dyDescent="0.25">
      <c r="A34" s="26" t="s">
        <v>26</v>
      </c>
      <c r="B34" s="27" t="s">
        <v>27</v>
      </c>
      <c r="C34" s="34">
        <f>C31*$B$27</f>
        <v>-0.11903769923934909</v>
      </c>
      <c r="D34" s="34">
        <f>D31*$B$27</f>
        <v>-0.11903769923934909</v>
      </c>
      <c r="E34" s="28"/>
      <c r="F34" s="34">
        <f>F31*$B$27</f>
        <v>0.11903769923934909</v>
      </c>
      <c r="G34" s="34">
        <f>G31*$B$27</f>
        <v>0.11903769923934909</v>
      </c>
      <c r="H34" s="34">
        <f>H31*$B$27</f>
        <v>0.11903769923934909</v>
      </c>
    </row>
    <row r="38" spans="1:11" ht="13" x14ac:dyDescent="0.3">
      <c r="A38" s="8" t="s">
        <v>29</v>
      </c>
    </row>
    <row r="40" spans="1:11" ht="13" x14ac:dyDescent="0.3">
      <c r="A40" s="31" t="s">
        <v>5</v>
      </c>
    </row>
    <row r="41" spans="1:11" x14ac:dyDescent="0.25">
      <c r="A41" s="32" t="s">
        <v>7</v>
      </c>
      <c r="B41" s="16">
        <v>20</v>
      </c>
    </row>
    <row r="42" spans="1:11" x14ac:dyDescent="0.25">
      <c r="A42" s="15" t="s">
        <v>8</v>
      </c>
      <c r="B42" s="16">
        <v>101300</v>
      </c>
    </row>
    <row r="43" spans="1:11" x14ac:dyDescent="0.25">
      <c r="A43" s="33" t="s">
        <v>30</v>
      </c>
      <c r="B43" s="34">
        <f>1*8.314*($B$41+273.15)/$B$42*1000</f>
        <v>24.059714708785787</v>
      </c>
      <c r="C43" s="34">
        <f>$B$43*C34</f>
        <v>-2.8640130832889859</v>
      </c>
      <c r="D43" s="34">
        <f>$B$43*D34</f>
        <v>-2.8640130832889859</v>
      </c>
      <c r="E43" s="34"/>
      <c r="F43" s="34">
        <f>$B$43*F34</f>
        <v>2.8640130832889859</v>
      </c>
      <c r="G43" s="34">
        <f>$B$43*G34</f>
        <v>2.8640130832889859</v>
      </c>
      <c r="H43" s="34">
        <f>$B$43*H34</f>
        <v>2.8640130832889859</v>
      </c>
      <c r="J43" t="s">
        <v>104</v>
      </c>
    </row>
    <row r="44" spans="1:11" x14ac:dyDescent="0.25">
      <c r="K44">
        <f>(G43*1000/3.141/4*3)^(1/3)</f>
        <v>8.8102745338768447</v>
      </c>
    </row>
    <row r="45" spans="1:11" ht="13" x14ac:dyDescent="0.3">
      <c r="A45" s="31" t="s">
        <v>31</v>
      </c>
    </row>
    <row r="46" spans="1:11" x14ac:dyDescent="0.25">
      <c r="A46" s="35" t="s">
        <v>10</v>
      </c>
      <c r="B46" s="36"/>
      <c r="C46" s="16"/>
      <c r="D46" s="16"/>
      <c r="E46" s="37"/>
      <c r="F46" s="16"/>
      <c r="G46" s="16"/>
      <c r="H46" s="16"/>
    </row>
    <row r="47" spans="1:11" x14ac:dyDescent="0.25">
      <c r="A47" s="15" t="s">
        <v>32</v>
      </c>
      <c r="C47" s="34" t="str">
        <f>IF(C46&lt;&gt;"",C34/C46,"")</f>
        <v/>
      </c>
      <c r="D47" s="34" t="str">
        <f>IF(D46&lt;&gt;"",D34/D46,"")</f>
        <v/>
      </c>
      <c r="F47" s="34" t="str">
        <f>IF(F46&lt;&gt;"",F34/F46,"")</f>
        <v/>
      </c>
      <c r="G47" s="34" t="str">
        <f>IF(G46&lt;&gt;"",G34/G46,"")</f>
        <v/>
      </c>
      <c r="H47" s="34" t="str">
        <f>IF(H46&lt;&gt;"",H34/H46,"")</f>
        <v/>
      </c>
    </row>
    <row r="48" spans="1:11" x14ac:dyDescent="0.25">
      <c r="A48" s="15" t="s">
        <v>33</v>
      </c>
      <c r="C48" s="34" t="str">
        <f>IF(C47&lt;&gt;"",C47*C33,"")</f>
        <v/>
      </c>
      <c r="D48" s="34" t="str">
        <f>IF(D47&lt;&gt;"",D47*D33,"")</f>
        <v/>
      </c>
      <c r="F48" s="34" t="str">
        <f>IF(F47&lt;&gt;"",F47*F33,"")</f>
        <v/>
      </c>
      <c r="G48" s="34" t="str">
        <f>IF(G47&lt;&gt;"",G47*G33,"")</f>
        <v/>
      </c>
      <c r="H48" s="34" t="str">
        <f>IF(H47&lt;&gt;"",H47*H33,"")</f>
        <v/>
      </c>
    </row>
    <row r="49" spans="1:8" x14ac:dyDescent="0.25">
      <c r="A49" s="15" t="s">
        <v>34</v>
      </c>
      <c r="C49" s="34" t="str">
        <f>IF(C47&lt;&gt;"",C47*8.314*($B$41+273.15),"")</f>
        <v/>
      </c>
      <c r="D49" s="34" t="str">
        <f>IF(D47&lt;&gt;"",D47*8.314*($B$41+273.15),"")</f>
        <v/>
      </c>
      <c r="F49" s="34" t="str">
        <f>IF(F47&lt;&gt;"",F47*8.314*($B$41+273.15),"")</f>
        <v/>
      </c>
      <c r="G49" s="34" t="str">
        <f>IF(G47&lt;&gt;"",G47*8.314*($B$41+273.15),"")</f>
        <v/>
      </c>
      <c r="H49" s="34" t="str">
        <f>IF(H47&lt;&gt;"",H47*8.314*($B$41+273.15),"")</f>
        <v/>
      </c>
    </row>
    <row r="50" spans="1:8" x14ac:dyDescent="0.25">
      <c r="A50" s="38" t="s">
        <v>35</v>
      </c>
      <c r="B50" s="39"/>
      <c r="C50" s="34" t="str">
        <f>IF(C49&lt;&gt;"",C49/101300,"")</f>
        <v/>
      </c>
      <c r="D50" s="34" t="str">
        <f>IF(D49&lt;&gt;"",D49/101300,"")</f>
        <v/>
      </c>
      <c r="E50" s="40"/>
      <c r="F50" s="34" t="str">
        <f>IF(F49&lt;&gt;"",F49/101300,"")</f>
        <v/>
      </c>
      <c r="G50" s="34" t="str">
        <f>IF(G49&lt;&gt;"",G49/101300,"")</f>
        <v/>
      </c>
      <c r="H50" s="34" t="str">
        <f>IF(H49&lt;&gt;"",H49/101300,"")</f>
        <v/>
      </c>
    </row>
    <row r="52" spans="1:8" x14ac:dyDescent="0.25">
      <c r="A52" s="41" t="s">
        <v>32</v>
      </c>
      <c r="B52" s="43"/>
      <c r="C52" s="16"/>
      <c r="D52" s="16"/>
      <c r="E52" s="45"/>
      <c r="F52" s="16"/>
      <c r="G52" s="16"/>
      <c r="H52" s="16"/>
    </row>
    <row r="53" spans="1:8" x14ac:dyDescent="0.25">
      <c r="A53" s="42" t="s">
        <v>10</v>
      </c>
      <c r="B53" s="44"/>
      <c r="C53" s="34" t="str">
        <f>IF(C52&lt;&gt;"",C34/C52,"")</f>
        <v/>
      </c>
      <c r="D53" s="34" t="str">
        <f>IF(D52&lt;&gt;"",D34/D52,"")</f>
        <v/>
      </c>
      <c r="E53" s="46"/>
      <c r="F53" s="34" t="str">
        <f>IF(F52&lt;&gt;"",F34/F52,"")</f>
        <v/>
      </c>
      <c r="G53" s="34" t="str">
        <f>IF(G52&lt;&gt;"",G34/G52,"")</f>
        <v/>
      </c>
      <c r="H53" s="34" t="str">
        <f>IF(H52&lt;&gt;"",H34/H52,"")</f>
        <v/>
      </c>
    </row>
    <row r="55" spans="1:8" x14ac:dyDescent="0.25">
      <c r="A55" s="47" t="s">
        <v>33</v>
      </c>
      <c r="B55" s="49"/>
      <c r="C55" s="16"/>
      <c r="D55" s="16"/>
      <c r="E55" s="51"/>
      <c r="F55" s="16"/>
      <c r="G55" s="16"/>
      <c r="H55" s="16"/>
    </row>
    <row r="56" spans="1:8" x14ac:dyDescent="0.25">
      <c r="A56" s="48" t="s">
        <v>10</v>
      </c>
      <c r="B56" s="50"/>
      <c r="C56" s="34" t="str">
        <f>IF(C55&lt;&gt;"",C32/C55,"")</f>
        <v/>
      </c>
      <c r="D56" s="34" t="str">
        <f>IF(D55&lt;&gt;"",D32/D55,"")</f>
        <v/>
      </c>
      <c r="E56" s="52"/>
      <c r="F56" s="34" t="str">
        <f>IF(F55&lt;&gt;"",F32/F55,"")</f>
        <v/>
      </c>
      <c r="G56" s="34" t="str">
        <f>IF(G55&lt;&gt;"",G32/G55,"")</f>
        <v/>
      </c>
      <c r="H56" s="34" t="str">
        <f>IF(H55&lt;&gt;"",H32/H55,"")</f>
        <v/>
      </c>
    </row>
    <row r="61" spans="1:8" ht="13" x14ac:dyDescent="0.3">
      <c r="A61" s="8" t="s">
        <v>56</v>
      </c>
    </row>
    <row r="62" spans="1:8" x14ac:dyDescent="0.25">
      <c r="A62" s="72"/>
      <c r="B62" s="73"/>
      <c r="C62" s="34" t="s">
        <v>36</v>
      </c>
      <c r="D62" s="34" t="s">
        <v>37</v>
      </c>
      <c r="E62" s="74"/>
      <c r="F62" s="34" t="s">
        <v>38</v>
      </c>
      <c r="G62" s="34" t="s">
        <v>39</v>
      </c>
      <c r="H62" s="34" t="s">
        <v>40</v>
      </c>
    </row>
    <row r="63" spans="1:8" x14ac:dyDescent="0.25">
      <c r="C63" s="34">
        <v>-1</v>
      </c>
      <c r="D63" s="34">
        <v>-1</v>
      </c>
      <c r="F63" s="34">
        <v>1</v>
      </c>
      <c r="G63" s="34">
        <v>1</v>
      </c>
      <c r="H63" s="34">
        <v>1</v>
      </c>
    </row>
    <row r="64" spans="1:8" x14ac:dyDescent="0.25">
      <c r="A64" s="15" t="s">
        <v>57</v>
      </c>
      <c r="C64" s="34"/>
      <c r="D64" s="34"/>
      <c r="F64" s="34"/>
      <c r="G64" s="34">
        <v>-1490</v>
      </c>
      <c r="H64" s="34">
        <v>-926</v>
      </c>
    </row>
    <row r="65" spans="1:11" x14ac:dyDescent="0.25">
      <c r="A65" s="75" t="s">
        <v>58</v>
      </c>
      <c r="B65" s="76"/>
      <c r="C65" s="34">
        <f>C63*C64</f>
        <v>0</v>
      </c>
      <c r="D65" s="34">
        <f>D63*D64</f>
        <v>0</v>
      </c>
      <c r="E65" s="77"/>
      <c r="F65" s="34">
        <f>F63*F64</f>
        <v>0</v>
      </c>
      <c r="G65" s="34">
        <f>G63*G64</f>
        <v>-1490</v>
      </c>
      <c r="H65" s="34">
        <f>H63*H64</f>
        <v>-926</v>
      </c>
      <c r="I65" s="15" t="s">
        <v>59</v>
      </c>
      <c r="J65" s="34">
        <f>SUM(C65:I65)</f>
        <v>-2416</v>
      </c>
      <c r="K65" s="15" t="s">
        <v>60</v>
      </c>
    </row>
    <row r="67" spans="1:11" x14ac:dyDescent="0.25">
      <c r="A67" s="15" t="s">
        <v>61</v>
      </c>
      <c r="C67" s="34" t="s">
        <v>53</v>
      </c>
      <c r="D67" s="34" t="s">
        <v>53</v>
      </c>
      <c r="F67" s="34" t="s">
        <v>53</v>
      </c>
      <c r="G67" s="34" t="s">
        <v>54</v>
      </c>
      <c r="H67" s="34" t="s">
        <v>55</v>
      </c>
    </row>
    <row r="68" spans="1:11" x14ac:dyDescent="0.25">
      <c r="A68" s="15" t="s">
        <v>62</v>
      </c>
      <c r="C68" s="34"/>
      <c r="D68" s="34"/>
      <c r="F68" s="34"/>
      <c r="G68" s="34">
        <v>-745</v>
      </c>
      <c r="H68" s="34">
        <v>-463</v>
      </c>
    </row>
    <row r="81" spans="1:10" ht="13" x14ac:dyDescent="0.3">
      <c r="A81" s="8" t="s">
        <v>63</v>
      </c>
    </row>
    <row r="82" spans="1:10" x14ac:dyDescent="0.25">
      <c r="A82" s="78"/>
      <c r="B82" s="79"/>
      <c r="C82" s="34" t="s">
        <v>36</v>
      </c>
      <c r="D82" s="34" t="s">
        <v>37</v>
      </c>
      <c r="E82" s="80"/>
      <c r="F82" s="34" t="s">
        <v>38</v>
      </c>
      <c r="G82" s="34" t="s">
        <v>39</v>
      </c>
      <c r="H82" s="34" t="s">
        <v>40</v>
      </c>
    </row>
    <row r="83" spans="1:10" x14ac:dyDescent="0.25">
      <c r="C83" s="34">
        <v>-1</v>
      </c>
      <c r="D83" s="34">
        <v>-1</v>
      </c>
      <c r="F83" s="34">
        <v>1</v>
      </c>
      <c r="G83" s="34">
        <v>1</v>
      </c>
      <c r="H83" s="34">
        <v>1</v>
      </c>
    </row>
    <row r="85" spans="1:10" x14ac:dyDescent="0.25">
      <c r="A85" s="15" t="s">
        <v>64</v>
      </c>
      <c r="B85" s="15" t="s">
        <v>65</v>
      </c>
      <c r="C85" s="34" t="s">
        <v>78</v>
      </c>
      <c r="D85" s="34" t="s">
        <v>78</v>
      </c>
      <c r="F85" s="34" t="s">
        <v>78</v>
      </c>
      <c r="G85" s="34">
        <v>-393.50900000000001</v>
      </c>
      <c r="H85" s="34">
        <v>-285.83</v>
      </c>
    </row>
    <row r="86" spans="1:10" x14ac:dyDescent="0.25">
      <c r="A86" s="15" t="s">
        <v>66</v>
      </c>
      <c r="B86" s="15" t="s">
        <v>67</v>
      </c>
      <c r="C86" s="34" t="e">
        <f>C85*C83</f>
        <v>#VALUE!</v>
      </c>
      <c r="D86" s="34" t="e">
        <f>D85*D83</f>
        <v>#VALUE!</v>
      </c>
      <c r="F86" s="34" t="e">
        <f>F85*F83</f>
        <v>#VALUE!</v>
      </c>
      <c r="G86" s="34">
        <f>G85*G83</f>
        <v>-393.50900000000001</v>
      </c>
      <c r="H86" s="34">
        <f>H85*H83</f>
        <v>-285.83</v>
      </c>
      <c r="I86" s="15" t="s">
        <v>59</v>
      </c>
      <c r="J86" s="34" t="e">
        <f>SUM(C86:H86)</f>
        <v>#VALUE!</v>
      </c>
    </row>
    <row r="88" spans="1:10" x14ac:dyDescent="0.25">
      <c r="A88" s="15" t="s">
        <v>68</v>
      </c>
      <c r="B88" s="15" t="s">
        <v>69</v>
      </c>
      <c r="C88" s="34" t="s">
        <v>78</v>
      </c>
      <c r="D88" s="34" t="s">
        <v>78</v>
      </c>
      <c r="F88" s="34" t="s">
        <v>78</v>
      </c>
      <c r="G88" s="34">
        <v>213.74</v>
      </c>
      <c r="H88" s="34">
        <v>69.91</v>
      </c>
    </row>
    <row r="89" spans="1:10" x14ac:dyDescent="0.25">
      <c r="A89" s="15" t="s">
        <v>70</v>
      </c>
      <c r="B89" s="15" t="s">
        <v>71</v>
      </c>
      <c r="C89" s="34" t="e">
        <f>C88*C83</f>
        <v>#VALUE!</v>
      </c>
      <c r="D89" s="34" t="e">
        <f>D88*D83</f>
        <v>#VALUE!</v>
      </c>
      <c r="F89" s="34" t="e">
        <f>F88*F83</f>
        <v>#VALUE!</v>
      </c>
      <c r="G89" s="34">
        <f>G88*G83</f>
        <v>213.74</v>
      </c>
      <c r="H89" s="34">
        <f>H88*H83</f>
        <v>69.91</v>
      </c>
      <c r="I89" s="15" t="s">
        <v>59</v>
      </c>
      <c r="J89" s="34" t="e">
        <f>SUM(C89:H89)</f>
        <v>#VALUE!</v>
      </c>
    </row>
    <row r="91" spans="1:10" x14ac:dyDescent="0.25">
      <c r="A91" s="15" t="s">
        <v>72</v>
      </c>
      <c r="B91" s="15" t="s">
        <v>65</v>
      </c>
      <c r="C91" s="34" t="s">
        <v>78</v>
      </c>
      <c r="D91" s="34" t="s">
        <v>78</v>
      </c>
      <c r="F91" s="34" t="s">
        <v>78</v>
      </c>
      <c r="G91" s="34">
        <v>-394.35899999999998</v>
      </c>
      <c r="H91" s="34">
        <v>-237.18</v>
      </c>
    </row>
    <row r="92" spans="1:10" x14ac:dyDescent="0.25">
      <c r="A92" s="15" t="s">
        <v>73</v>
      </c>
      <c r="B92" s="15" t="s">
        <v>67</v>
      </c>
      <c r="C92" s="34" t="e">
        <f>C91*C83</f>
        <v>#VALUE!</v>
      </c>
      <c r="D92" s="34" t="e">
        <f>D91*D83</f>
        <v>#VALUE!</v>
      </c>
      <c r="F92" s="34" t="e">
        <f>F91*F83</f>
        <v>#VALUE!</v>
      </c>
      <c r="G92" s="34">
        <f>G91*G83</f>
        <v>-394.35899999999998</v>
      </c>
      <c r="H92" s="34">
        <f>H91*H83</f>
        <v>-237.18</v>
      </c>
      <c r="I92" s="15" t="s">
        <v>59</v>
      </c>
      <c r="J92" s="34" t="e">
        <f>SUM(C92:H92)</f>
        <v>#VALUE!</v>
      </c>
    </row>
    <row r="94" spans="1:10" x14ac:dyDescent="0.25">
      <c r="A94" s="15" t="s">
        <v>74</v>
      </c>
      <c r="B94" s="15" t="s">
        <v>75</v>
      </c>
      <c r="C94" s="34" t="s">
        <v>78</v>
      </c>
      <c r="D94" s="34" t="s">
        <v>78</v>
      </c>
      <c r="F94" s="34" t="s">
        <v>78</v>
      </c>
      <c r="G94" s="34">
        <v>24465.599999999999</v>
      </c>
      <c r="H94" s="34">
        <v>18.068000000000001</v>
      </c>
    </row>
    <row r="95" spans="1:10" x14ac:dyDescent="0.25">
      <c r="A95" s="15" t="s">
        <v>76</v>
      </c>
      <c r="B95" s="15" t="s">
        <v>77</v>
      </c>
      <c r="C95" s="34" t="e">
        <f>C94*C83</f>
        <v>#VALUE!</v>
      </c>
      <c r="D95" s="34" t="e">
        <f>D94*D83</f>
        <v>#VALUE!</v>
      </c>
      <c r="F95" s="34" t="e">
        <f>F94*F83</f>
        <v>#VALUE!</v>
      </c>
      <c r="G95" s="34">
        <f>G94*G83</f>
        <v>24465.599999999999</v>
      </c>
      <c r="H95" s="34">
        <f>H94*H83</f>
        <v>18.068000000000001</v>
      </c>
      <c r="I95" s="15" t="s">
        <v>59</v>
      </c>
      <c r="J95" s="34" t="e">
        <f>SUM(C95:H95)</f>
        <v>#VALUE!</v>
      </c>
    </row>
    <row r="101" spans="1:7" x14ac:dyDescent="0.25">
      <c r="A101" s="15" t="s">
        <v>79</v>
      </c>
      <c r="B101" s="15" t="s">
        <v>80</v>
      </c>
      <c r="C101" s="34" t="e">
        <f>J86*1000/J89</f>
        <v>#VALUE!</v>
      </c>
      <c r="D101" s="15" t="s">
        <v>81</v>
      </c>
      <c r="F101" s="34" t="e">
        <f>C101-273.15</f>
        <v>#VALUE!</v>
      </c>
      <c r="G101" s="15" t="s">
        <v>82</v>
      </c>
    </row>
    <row r="103" spans="1:7" x14ac:dyDescent="0.25">
      <c r="A103" s="15" t="s">
        <v>83</v>
      </c>
      <c r="B103" s="15" t="s">
        <v>80</v>
      </c>
      <c r="C103" s="34">
        <f>F103+273.15</f>
        <v>293.14999999999998</v>
      </c>
      <c r="D103" s="15" t="s">
        <v>81</v>
      </c>
      <c r="F103" s="16">
        <v>20</v>
      </c>
      <c r="G103" s="15" t="s">
        <v>82</v>
      </c>
    </row>
    <row r="104" spans="1:7" x14ac:dyDescent="0.25">
      <c r="A104" s="15" t="s">
        <v>84</v>
      </c>
      <c r="B104" s="15" t="s">
        <v>85</v>
      </c>
      <c r="C104" s="34" t="e">
        <f>J86-C103*J89/1000</f>
        <v>#VALUE!</v>
      </c>
      <c r="D104" s="15" t="s">
        <v>65</v>
      </c>
    </row>
    <row r="105" spans="1:7" x14ac:dyDescent="0.25">
      <c r="A105" s="15" t="s">
        <v>86</v>
      </c>
      <c r="B105" s="15" t="s">
        <v>87</v>
      </c>
      <c r="C105" s="34" t="e">
        <f>EXP(-C104*1000/8.314/C103)</f>
        <v>#VALUE!</v>
      </c>
      <c r="D105" s="15" t="s">
        <v>88</v>
      </c>
      <c r="E105" s="15" t="s">
        <v>89</v>
      </c>
      <c r="F105" s="34" t="e">
        <f>C104*1000/8.314/C103*LOG(EXP(1))</f>
        <v>#VALUE!</v>
      </c>
    </row>
    <row r="106" spans="1:7" x14ac:dyDescent="0.25">
      <c r="A106" s="15" t="s">
        <v>90</v>
      </c>
      <c r="C106" s="16" t="s">
        <v>91</v>
      </c>
      <c r="D106" s="15" t="s">
        <v>92</v>
      </c>
    </row>
    <row r="107" spans="1:7" x14ac:dyDescent="0.25">
      <c r="A107" s="15" t="s">
        <v>93</v>
      </c>
      <c r="B107" s="15" t="s">
        <v>94</v>
      </c>
      <c r="C107" s="34" t="e">
        <f>-C104*1000/96485/C106</f>
        <v>#VALUE!</v>
      </c>
      <c r="D107" s="15" t="s">
        <v>95</v>
      </c>
    </row>
    <row r="111" spans="1:7" ht="13" x14ac:dyDescent="0.3">
      <c r="A111" s="8" t="s">
        <v>96</v>
      </c>
    </row>
    <row r="112" spans="1:7" x14ac:dyDescent="0.25">
      <c r="A112" s="15" t="s">
        <v>97</v>
      </c>
      <c r="B112" s="15" t="s">
        <v>98</v>
      </c>
      <c r="C112" s="16">
        <v>10</v>
      </c>
      <c r="D112" s="15" t="s">
        <v>99</v>
      </c>
    </row>
    <row r="113" spans="1:7" x14ac:dyDescent="0.25">
      <c r="A113" s="15" t="s">
        <v>100</v>
      </c>
      <c r="B113" s="15" t="s">
        <v>80</v>
      </c>
      <c r="C113" s="34" t="e">
        <f>(J86*1000+(C112-1)*101300*0.000001*J95)/J89</f>
        <v>#VALUE!</v>
      </c>
      <c r="D113" s="15" t="s">
        <v>81</v>
      </c>
      <c r="F113" s="34" t="e">
        <f>C113-273.15</f>
        <v>#VALUE!</v>
      </c>
      <c r="G113" s="15" t="s">
        <v>82</v>
      </c>
    </row>
    <row r="114" spans="1:7" x14ac:dyDescent="0.25">
      <c r="A114" s="15" t="s">
        <v>101</v>
      </c>
      <c r="B114" s="15" t="s">
        <v>80</v>
      </c>
      <c r="C114" s="34">
        <f>F114+273.15</f>
        <v>293.14999999999998</v>
      </c>
      <c r="D114" s="15" t="s">
        <v>81</v>
      </c>
      <c r="F114" s="16">
        <v>20</v>
      </c>
      <c r="G114" s="15" t="s">
        <v>82</v>
      </c>
    </row>
    <row r="115" spans="1:7" x14ac:dyDescent="0.25">
      <c r="A115" s="15" t="s">
        <v>102</v>
      </c>
      <c r="B115" s="15" t="s">
        <v>85</v>
      </c>
      <c r="C115" s="34" t="e">
        <f>J86-C114*J89/1000+(C112-1)*101300*J95/1000000000</f>
        <v>#VALUE!</v>
      </c>
      <c r="D115" s="15" t="s">
        <v>65</v>
      </c>
    </row>
    <row r="116" spans="1:7" x14ac:dyDescent="0.25">
      <c r="A116" s="15" t="s">
        <v>103</v>
      </c>
      <c r="B116" s="15" t="s">
        <v>87</v>
      </c>
      <c r="C116" s="34" t="e">
        <f>EXP(-C115*1000/8.314/C114)</f>
        <v>#VALUE!</v>
      </c>
      <c r="D116" s="15" t="s">
        <v>88</v>
      </c>
      <c r="E116" s="15" t="s">
        <v>89</v>
      </c>
      <c r="F116" s="34" t="e">
        <f>C115*1000/8.314/C114*LOG(EXP(1))</f>
        <v>#VALUE!</v>
      </c>
    </row>
  </sheetData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Stöchiometrie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Urs Leisinger</cp:lastModifiedBy>
  <dcterms:created xsi:type="dcterms:W3CDTF">2025-11-16T15:14:41Z</dcterms:created>
  <dcterms:modified xsi:type="dcterms:W3CDTF">2025-11-16T15:17:06Z</dcterms:modified>
</cp:coreProperties>
</file>